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GIMECB01\HOMEDIR-MP$\patzign\"/>
    </mc:Choice>
  </mc:AlternateContent>
  <xr:revisionPtr revIDLastSave="0" documentId="13_ncr:1_{74076E0D-3E9E-4831-973B-BA77869A8D4A}" xr6:coauthVersionLast="47" xr6:coauthVersionMax="47" xr10:uidLastSave="{00000000-0000-0000-0000-000000000000}"/>
  <bookViews>
    <workbookView xWindow="-120" yWindow="-120" windowWidth="29040" windowHeight="15840" xr2:uid="{00000000-000D-0000-FFFF-FFFF00000000}"/>
  </bookViews>
  <sheets>
    <sheet name="Table of Contents" sheetId="1" r:id="rId1"/>
    <sheet name="CCoB" sheetId="2" r:id="rId2"/>
    <sheet name="CCyB" sheetId="3" r:id="rId3"/>
    <sheet name="G-SII" sheetId="4" r:id="rId4"/>
    <sheet name="O-SII" sheetId="5" r:id="rId5"/>
    <sheet name="SRB" sheetId="6" r:id="rId6"/>
    <sheet name="BoBM" sheetId="7" r:id="rId7"/>
    <sheet name="Reciprocation (recognition)" sheetId="8" r:id="rId8"/>
    <sheet name="Matrix of reciprocation" sheetId="9" r:id="rId9"/>
    <sheet name="Other measures" sheetId="10" r:id="rId10"/>
    <sheet name="Glossary" sheetId="11" r:id="rId11"/>
    <sheet name="List" sheetId="12" state="hidden" r:id="rId12"/>
  </sheets>
  <externalReferences>
    <externalReference r:id="rId13"/>
  </externalReferences>
  <definedNames>
    <definedName name="country" localSheetId="6">#REF!</definedName>
    <definedName name="country" localSheetId="4">#REF!</definedName>
    <definedName name="country" localSheetId="5">#REF!</definedName>
    <definedName name="country">#REF!</definedName>
    <definedName name="intermediateobjective" localSheetId="6">#REF!</definedName>
    <definedName name="intermediateobjective" localSheetId="2">[1]Sheet1!$G$309:$G$313</definedName>
    <definedName name="intermediateobjective" localSheetId="4">#REF!</definedName>
    <definedName name="intermediateobjective" localSheetId="5">#REF!</definedName>
    <definedName name="intermediateobjective" localSheetId="0">[1]Sheet1!$G$309:$G$313</definedName>
    <definedName name="intermediateobjective">#REF!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MesID1000">'Reciprocation (recognition)'!$A$250</definedName>
    <definedName name="MesID1002">'Reciprocation (recognition)'!$A$252</definedName>
    <definedName name="MesID1003">'Reciprocation (recognition)'!$A$249</definedName>
    <definedName name="MesID1004">'Reciprocation (recognition)'!$A$449</definedName>
    <definedName name="MesID1005">'Reciprocation (recognition)'!$A$506</definedName>
    <definedName name="MesID1006">'Reciprocation (recognition)'!$A$170</definedName>
    <definedName name="MesID1007">'Reciprocation (recognition)'!$A$172</definedName>
    <definedName name="MesID1008">'Reciprocation (recognition)'!$A$169</definedName>
    <definedName name="MesID101">'Reciprocation (recognition)'!$A$123</definedName>
    <definedName name="MesID1010">'Reciprocation (recognition)'!$A$399</definedName>
    <definedName name="MesID1011">'Reciprocation (recognition)'!$A$403</definedName>
    <definedName name="MesID1012">'Reciprocation (recognition)'!$A$451</definedName>
    <definedName name="MesID1015">'Reciprocation (recognition)'!$A$82</definedName>
    <definedName name="MesID1016">'Reciprocation (recognition)'!$A$85</definedName>
    <definedName name="MesID1017">'Reciprocation (recognition)'!$A$72</definedName>
    <definedName name="MesID1018">'Reciprocation (recognition)'!$A$86</definedName>
    <definedName name="MesID1020">'Reciprocation (recognition)'!$A$187</definedName>
    <definedName name="MesID1023">'Reciprocation (recognition)'!$A$20</definedName>
    <definedName name="MesID1026">'Reciprocation (recognition)'!$A$437</definedName>
    <definedName name="MesID1027">'Reciprocation (recognition)'!$A$182</definedName>
    <definedName name="MesID1030">'Reciprocation (recognition)'!$A$302</definedName>
    <definedName name="MesID1032">'Reciprocation (recognition)'!$A$292</definedName>
    <definedName name="MesID1033">'Reciprocation (recognition)'!$A$299</definedName>
    <definedName name="MesID1034">'Reciprocation (recognition)'!$A$295</definedName>
    <definedName name="MesID1035">'Reciprocation (recognition)'!$A$416</definedName>
    <definedName name="MesID1036">'Reciprocation (recognition)'!$A$520</definedName>
    <definedName name="MesID106">'Reciprocation (recognition)'!$A$151</definedName>
    <definedName name="MesID1077">'Reciprocation (recognition)'!$A$257</definedName>
    <definedName name="MesID1080">'Reciprocation (recognition)'!$A$433</definedName>
    <definedName name="MesID1082">'Reciprocation (recognition)'!$A$276</definedName>
    <definedName name="MesID1089">'Reciprocation (recognition)'!$A$361</definedName>
    <definedName name="MesID1095">'Reciprocation (recognition)'!$A$460</definedName>
    <definedName name="MesID1097">'Reciprocation (recognition)'!$A$480</definedName>
    <definedName name="MesID1098">'Reciprocation (recognition)'!$A$222</definedName>
    <definedName name="MesID1102">'Reciprocation (recognition)'!$A$236</definedName>
    <definedName name="MesID1103">'Reciprocation (recognition)'!$A$231</definedName>
    <definedName name="MesID1104">'Reciprocation (recognition)'!$A$394</definedName>
    <definedName name="MesID1105">'Reciprocation (recognition)'!$A$227</definedName>
    <definedName name="MesID1106">'Reciprocation (recognition)'!$A$223</definedName>
    <definedName name="MesID1107">'Reciprocation (recognition)'!$A$215</definedName>
    <definedName name="MesID1108">'Reciprocation (recognition)'!$A$494</definedName>
    <definedName name="MesID1109">'Reciprocation (recognition)'!$A$501</definedName>
    <definedName name="MesID1110">'Reciprocation (recognition)'!$A$490</definedName>
    <definedName name="MesID1112">'Reciprocation (recognition)'!$A$514</definedName>
    <definedName name="MesID1113">'Reciprocation (recognition)'!$A$251</definedName>
    <definedName name="MesID1116">'Reciprocation (recognition)'!$A$15</definedName>
    <definedName name="MesID1117">'Reciprocation (recognition)'!$A$439</definedName>
    <definedName name="MesID1118">'Reciprocation (recognition)'!$A$441</definedName>
    <definedName name="MesID1124">'Reciprocation (recognition)'!$A$385</definedName>
    <definedName name="MesID1125">'Reciprocation (recognition)'!$A$388</definedName>
    <definedName name="MesID1127">'Reciprocation (recognition)'!$A$259</definedName>
    <definedName name="MesID1129">'Reciprocation (recognition)'!$A$384</definedName>
    <definedName name="MesID1131">'Reciprocation (recognition)'!$A$89</definedName>
    <definedName name="MesID1132">'Reciprocation (recognition)'!$A$87</definedName>
    <definedName name="MesID1133">'Reciprocation (recognition)'!$A$440</definedName>
    <definedName name="MesID1141">'Reciprocation (recognition)'!$A$466</definedName>
    <definedName name="MesID1142">'Reciprocation (recognition)'!$A$444</definedName>
    <definedName name="MesID1143">'Reciprocation (recognition)'!$A$551</definedName>
    <definedName name="MesID1144">'Reciprocation (recognition)'!$A$547</definedName>
    <definedName name="MesID1145">'Reciprocation (recognition)'!$A$60</definedName>
    <definedName name="MesID1146">'Reciprocation (recognition)'!$A$447</definedName>
    <definedName name="MesID1147">'Reciprocation (recognition)'!$A$450</definedName>
    <definedName name="MesID1148">'Reciprocation (recognition)'!$A$66</definedName>
    <definedName name="MesID1149">'Reciprocation (recognition)'!$A$303</definedName>
    <definedName name="MesID1151">'Reciprocation (recognition)'!$A$507</definedName>
    <definedName name="MesID1152">'Reciprocation (recognition)'!$A$512</definedName>
    <definedName name="MesID1157">'Reciprocation (recognition)'!$A$543</definedName>
    <definedName name="MesID1158">'Reciprocation (recognition)'!$A$56</definedName>
    <definedName name="MesID1159">'Reciprocation (recognition)'!$A$271</definedName>
    <definedName name="MesID1160">'Reciprocation (recognition)'!$A$277</definedName>
    <definedName name="MesID1162">'Reciprocation (recognition)'!$A$275</definedName>
    <definedName name="MesID1165">'Reciprocation (recognition)'!$A$55</definedName>
    <definedName name="MesID1167">'Reciprocation (recognition)'!$A$47</definedName>
    <definedName name="MesID1169">'Reciprocation (recognition)'!$A$31</definedName>
    <definedName name="MesID1170">'Reciprocation (recognition)'!$A$46</definedName>
    <definedName name="MesID1171">'Reciprocation (recognition)'!$A$45</definedName>
    <definedName name="MesID1172">'Reciprocation (recognition)'!$A$41</definedName>
    <definedName name="MesID1173">'Reciprocation (recognition)'!$A$35</definedName>
    <definedName name="MesID1175">'Reciprocation (recognition)'!$A$179</definedName>
    <definedName name="MesID1176">'Reciprocation (recognition)'!$A$178</definedName>
    <definedName name="MesID1177">'Reciprocation (recognition)'!$A$135</definedName>
    <definedName name="MesID1178">'Reciprocation (recognition)'!$A$443</definedName>
    <definedName name="MesID1179">'Reciprocation (recognition)'!$A$99</definedName>
    <definedName name="MesID1180">'Reciprocation (recognition)'!$A$184</definedName>
    <definedName name="MesID1181">'Reciprocation (recognition)'!$A$197</definedName>
    <definedName name="MesID1182">'Reciprocation (recognition)'!$A$193</definedName>
    <definedName name="MesID1183">'Reciprocation (recognition)'!$A$446</definedName>
    <definedName name="MesID1184">'Reciprocation (recognition)'!$A$383</definedName>
    <definedName name="MesID1185">'Reciprocation (recognition)'!$A$509</definedName>
    <definedName name="MesID1186">'Reciprocation (recognition)'!$A$353</definedName>
    <definedName name="MesID1188">'Reciprocation (recognition)'!$A$186</definedName>
    <definedName name="MesID1195">'Reciprocation (recognition)'!$A$188</definedName>
    <definedName name="MesID1197">'Reciprocation (recognition)'!$A$94</definedName>
    <definedName name="MesID1198">'Reciprocation (recognition)'!$A$104</definedName>
    <definedName name="MesID1199">'Reciprocation (recognition)'!$A$351</definedName>
    <definedName name="MesID1201">'Reciprocation (recognition)'!$A$459</definedName>
    <definedName name="MesID1202">'Reciprocation (recognition)'!$A$362</definedName>
    <definedName name="MesID1203">'Reciprocation (recognition)'!$A$116</definedName>
    <definedName name="MesID1205">'Reciprocation (recognition)'!$A$350</definedName>
    <definedName name="MesID1206">'Reciprocation (recognition)'!$A$269</definedName>
    <definedName name="MesID1210">'Reciprocation (recognition)'!$A$48</definedName>
    <definedName name="MesID1211">'Reciprocation (recognition)'!$A$36</definedName>
    <definedName name="MesID1212">'Reciprocation (recognition)'!$A$42</definedName>
    <definedName name="MesID1213">'Reciprocation (recognition)'!$A$508</definedName>
    <definedName name="MesID1214">'Reciprocation (recognition)'!$A$16</definedName>
    <definedName name="MesID1216">'Reciprocation (recognition)'!$A$185</definedName>
    <definedName name="MesID1219">'Reciprocation (recognition)'!$A$284</definedName>
    <definedName name="MesID1222">'Reciprocation (recognition)'!$A$175</definedName>
    <definedName name="MesID1226">'Reciprocation (recognition)'!$A$305</definedName>
    <definedName name="MesID1229">'Reciprocation (recognition)'!$A$289</definedName>
    <definedName name="MesID1234">'Reciprocation (recognition)'!$A$156</definedName>
    <definedName name="MesID1235">'Reciprocation (recognition)'!$A$165</definedName>
    <definedName name="MesID1236">'Reciprocation (recognition)'!$A$159</definedName>
    <definedName name="MesID1237">'Reciprocation (recognition)'!$A$153</definedName>
    <definedName name="MesID1240">'Reciprocation (recognition)'!$A$463</definedName>
    <definedName name="MesID1241">'Reciprocation (recognition)'!$A$287</definedName>
    <definedName name="MesID1242">'Reciprocation (recognition)'!$A$300</definedName>
    <definedName name="MesID1253">'Reciprocation (recognition)'!$A$408</definedName>
    <definedName name="MesID1254">'Reciprocation (recognition)'!$A$395</definedName>
    <definedName name="MesID1257">'Reciprocation (recognition)'!$A$552</definedName>
    <definedName name="MesID1258">'Reciprocation (recognition)'!$A$407</definedName>
    <definedName name="MesID1259">'Reciprocation (recognition)'!$A$339</definedName>
    <definedName name="MesID1260">'Reciprocation (recognition)'!$A$337</definedName>
    <definedName name="MesID1263">'Reciprocation (recognition)'!$A$404</definedName>
    <definedName name="MesID1264">'Reciprocation (recognition)'!$A$334</definedName>
    <definedName name="MesID1265">'Reciprocation (recognition)'!$A$348</definedName>
    <definedName name="MesID1266">'Reciprocation (recognition)'!$A$340</definedName>
    <definedName name="MesID1278">'Reciprocation (recognition)'!$A$341</definedName>
    <definedName name="MesID1279">'Reciprocation (recognition)'!$A$331</definedName>
    <definedName name="MesID1285">'Reciprocation (recognition)'!$A$248</definedName>
    <definedName name="MesID1287">'Reciprocation (recognition)'!$A$198</definedName>
    <definedName name="MesID1302">'Reciprocation (recognition)'!$A$228</definedName>
    <definedName name="MesID1303">'Reciprocation (recognition)'!$A$234</definedName>
    <definedName name="MesID1305">'Reciprocation (recognition)'!$A$145</definedName>
    <definedName name="MesID1306">'Reciprocation (recognition)'!$A$88</definedName>
    <definedName name="MesID1307">'Reciprocation (recognition)'!$A$221</definedName>
    <definedName name="MesID1308">'Reciprocation (recognition)'!$A$220</definedName>
    <definedName name="MesID1309">'Reciprocation (recognition)'!$A$212</definedName>
    <definedName name="MesID1310">'Reciprocation (recognition)'!$A$224</definedName>
    <definedName name="MesID1312">'Reciprocation (recognition)'!$A$545</definedName>
    <definedName name="MesID1313">'Reciprocation (recognition)'!$A$544</definedName>
    <definedName name="MesID1314">'Reciprocation (recognition)'!$A$247</definedName>
    <definedName name="MesID1320">'Reciprocation (recognition)'!$A$478</definedName>
    <definedName name="MesID1323">'Reciprocation (recognition)'!$A$307</definedName>
    <definedName name="MesID1326">'Reciprocation (recognition)'!$A$473</definedName>
    <definedName name="MesID1327">'Reciprocation (recognition)'!$A$476</definedName>
    <definedName name="MesID1329">'Reciprocation (recognition)'!$A$142</definedName>
    <definedName name="MesID1330">'Reciprocation (recognition)'!$A$166</definedName>
    <definedName name="MesID1333">'Reciprocation (recognition)'!$A$319</definedName>
    <definedName name="MesID1334">'Reciprocation (recognition)'!$A$309</definedName>
    <definedName name="MesID1335">'Reciprocation (recognition)'!$A$516</definedName>
    <definedName name="MesID1336">'Reciprocation (recognition)'!$A$323</definedName>
    <definedName name="MesID1340">'Reciprocation (recognition)'!$A$417</definedName>
    <definedName name="MesID1342">'Reciprocation (recognition)'!$A$423</definedName>
    <definedName name="MesID1343">'Reciprocation (recognition)'!$A$412</definedName>
    <definedName name="MesID1344">'Reciprocation (recognition)'!$A$310</definedName>
    <definedName name="MesID1345">'Reciprocation (recognition)'!$A$311</definedName>
    <definedName name="MesID1346">'Reciprocation (recognition)'!$A$518</definedName>
    <definedName name="MesID1347">'Reciprocation (recognition)'!$A$519</definedName>
    <definedName name="MesID1351">'Reciprocation (recognition)'!$A$414</definedName>
    <definedName name="MesID1361">'Reciprocation (recognition)'!$A$330</definedName>
    <definedName name="MesID1362">'Reciprocation (recognition)'!$A$308</definedName>
    <definedName name="MesID1366">'Reciprocation (recognition)'!$A$312</definedName>
    <definedName name="MesID1368">'Reciprocation (recognition)'!$A$313</definedName>
    <definedName name="MesID1374">'Reciprocation (recognition)'!$A$105</definedName>
    <definedName name="MesID1375">'Reciprocation (recognition)'!$A$91</definedName>
    <definedName name="MesID1376">'Reciprocation (recognition)'!$A$90</definedName>
    <definedName name="MesID1377">'Reciprocation (recognition)'!$A$291</definedName>
    <definedName name="MesID1385">'Reciprocation (recognition)'!$A$254</definedName>
    <definedName name="MesID1386">'Reciprocation (recognition)'!$A$359</definedName>
    <definedName name="MesID1390">'Reciprocation (recognition)'!$A$396</definedName>
    <definedName name="MesID1392">'Reciprocation (recognition)'!$A$22</definedName>
    <definedName name="MesID1407">'Reciprocation (recognition)'!$A$144</definedName>
    <definedName name="MesID1409">'Reciprocation (recognition)'!$A$430</definedName>
    <definedName name="MesID1413">'Reciprocation (recognition)'!$A$386</definedName>
    <definedName name="MesID1417">'Reciprocation (recognition)'!$A$149</definedName>
    <definedName name="MesID142">'Reciprocation (recognition)'!$A$406</definedName>
    <definedName name="MesID1440">'Reciprocation (recognition)'!$A$93</definedName>
    <definedName name="MesID1451">'Reciprocation (recognition)'!$A$472</definedName>
    <definedName name="MesID1453">'Reciprocation (recognition)'!$A$278</definedName>
    <definedName name="MesID1459">'Reciprocation (recognition)'!$A$233</definedName>
    <definedName name="MesID1467">'Reciprocation (recognition)'!$A$521</definedName>
    <definedName name="MesID1471">'Reciprocation (recognition)'!$A$256</definedName>
    <definedName name="MesID1472">'Reciprocation (recognition)'!$A$382</definedName>
    <definedName name="MesID1473">'Reciprocation (recognition)'!$A$456</definedName>
    <definedName name="MesID1474">'Reciprocation (recognition)'!$A$258</definedName>
    <definedName name="MesID1475">'Reciprocation (recognition)'!$A$133</definedName>
    <definedName name="MesID1476">'Reciprocation (recognition)'!$A$126</definedName>
    <definedName name="MesID1477">'Reciprocation (recognition)'!$A$200</definedName>
    <definedName name="MesID1478">'Reciprocation (recognition)'!$A$195</definedName>
    <definedName name="MesID1479">'Reciprocation (recognition)'!$A$161</definedName>
    <definedName name="MesID1480">'Reciprocation (recognition)'!$A$83</definedName>
    <definedName name="MesID1481">'Reciprocation (recognition)'!$A$81</definedName>
    <definedName name="MesID1482">'Reciprocation (recognition)'!$A$79</definedName>
    <definedName name="MesID1483">'Reciprocation (recognition)'!$A$76</definedName>
    <definedName name="MesID1484">'Reciprocation (recognition)'!$A$62</definedName>
    <definedName name="MesID1485">'Reciprocation (recognition)'!$A$171</definedName>
    <definedName name="MesID1490">'Reciprocation (recognition)'!$A$481</definedName>
    <definedName name="MesID1491">'Reciprocation (recognition)'!$A$424</definedName>
    <definedName name="MesID1492">'Reciprocation (recognition)'!$A$237</definedName>
    <definedName name="MesID1493">'Reciprocation (recognition)'!$A$140</definedName>
    <definedName name="MesID1494">'Reciprocation (recognition)'!$A$504</definedName>
    <definedName name="MesID1495">'Reciprocation (recognition)'!$A$345</definedName>
    <definedName name="MesID1499">'Reciprocation (recognition)'!$A$167</definedName>
    <definedName name="MesID1502">'Reciprocation (recognition)'!$A$80</definedName>
    <definedName name="MesID1507">'Reciprocation (recognition)'!$A$427</definedName>
    <definedName name="MesID1508">'Reciprocation (recognition)'!$A$523</definedName>
    <definedName name="MesID1510">'Reciprocation (recognition)'!$A$112</definedName>
    <definedName name="MesID1511">'Reciprocation (recognition)'!$A$546</definedName>
    <definedName name="MesID1513">'Reciprocation (recognition)'!$A$336</definedName>
    <definedName name="MesID1514">'Reciprocation (recognition)'!$A$280</definedName>
    <definedName name="MesID1516">'Reciprocation (recognition)'!$A$315</definedName>
    <definedName name="MesID1518">'Reciprocation (recognition)'!$A$498</definedName>
    <definedName name="MesID1519">'Reciprocation (recognition)'!$A$495</definedName>
    <definedName name="MesID1522">'Reciprocation (recognition)'!$A$366</definedName>
    <definedName name="MesID1524">'Reciprocation (recognition)'!$A$199</definedName>
    <definedName name="MesID1526">'Reciprocation (recognition)'!$A$413</definedName>
    <definedName name="MesID1527">'Reciprocation (recognition)'!$A$390</definedName>
    <definedName name="MesID1528">'Reciprocation (recognition)'!$A$367</definedName>
    <definedName name="MesID1529">'Reciprocation (recognition)'!$A$549</definedName>
    <definedName name="MesID1530">'Reciprocation (recognition)'!$A$553</definedName>
    <definedName name="MesID1533">'Reciprocation (recognition)'!$A$488</definedName>
    <definedName name="MesID1534">'Reciprocation (recognition)'!$A$110</definedName>
    <definedName name="MesID1536">'Reciprocation (recognition)'!$A$74</definedName>
    <definedName name="MesID1538">'Reciprocation (recognition)'!$A$288</definedName>
    <definedName name="MesID1539">'Reciprocation (recognition)'!$A$304</definedName>
    <definedName name="MesID1540">'Reciprocation (recognition)'!$A$365</definedName>
    <definedName name="MesID1541">'Reciprocation (recognition)'!$A$354</definedName>
    <definedName name="MesID1543">'Reciprocation (recognition)'!$A$464</definedName>
    <definedName name="MesID1546">'Reciprocation (recognition)'!$A$316</definedName>
    <definedName name="MesID1547">'Reciprocation (recognition)'!$A$318</definedName>
    <definedName name="MesID1551">'Reciprocation (recognition)'!$A$34</definedName>
    <definedName name="MesID1552">'Reciprocation (recognition)'!$A$44</definedName>
    <definedName name="MesID1553">'Reciprocation (recognition)'!$A$40</definedName>
    <definedName name="MesID1554">'Reciprocation (recognition)'!$A$43</definedName>
    <definedName name="MesID1555">'Reciprocation (recognition)'!$A$39</definedName>
    <definedName name="MesID1556">'Reciprocation (recognition)'!$A$38</definedName>
    <definedName name="MesID1557">'Reciprocation (recognition)'!$A$37</definedName>
    <definedName name="MesID1558">'Reciprocation (recognition)'!$A$32</definedName>
    <definedName name="MesID1559">'Reciprocation (recognition)'!$A$131</definedName>
    <definedName name="MesID1560">'Reciprocation (recognition)'!$A$130</definedName>
    <definedName name="MesID1561">'Reciprocation (recognition)'!$A$218</definedName>
    <definedName name="MesID1562">'Reciprocation (recognition)'!$A$205</definedName>
    <definedName name="MesID1563">'Reciprocation (recognition)'!$A$425</definedName>
    <definedName name="MesID1564">'Reciprocation (recognition)'!$A$263</definedName>
    <definedName name="MesID1567">'Reciprocation (recognition)'!$A$26</definedName>
    <definedName name="MesID1569">'Reciprocation (recognition)'!$A$540</definedName>
    <definedName name="MesID1570">'Reciprocation (recognition)'!$A$539</definedName>
    <definedName name="MesID1571">'Reciprocation (recognition)'!$A$538</definedName>
    <definedName name="MesID1573">'Reciprocation (recognition)'!$A$499</definedName>
    <definedName name="MesID1574">'Reciprocation (recognition)'!$A$530</definedName>
    <definedName name="MesID1575">'Reciprocation (recognition)'!$A$209</definedName>
    <definedName name="MesID1576">'Reciprocation (recognition)'!$A$206</definedName>
    <definedName name="MesID1577">'Reciprocation (recognition)'!$A$214</definedName>
    <definedName name="MesID1578">'Reciprocation (recognition)'!$A$213</definedName>
    <definedName name="MesID1579">'Reciprocation (recognition)'!$A$374</definedName>
    <definedName name="MesID1580">'Reciprocation (recognition)'!$A$372</definedName>
    <definedName name="MesID1581">'Reciprocation (recognition)'!$A$526</definedName>
    <definedName name="MesID1582">'Reciprocation (recognition)'!$A$235</definedName>
    <definedName name="MesID1583">'Reciprocation (recognition)'!$A$238</definedName>
    <definedName name="MesID1585">'Reciprocation (recognition)'!$A$268</definedName>
    <definedName name="MesID1586">'Reciprocation (recognition)'!$A$49</definedName>
    <definedName name="MesID1587">'Reciprocation (recognition)'!$A$283</definedName>
    <definedName name="MesID1588">'Reciprocation (recognition)'!$A$369</definedName>
    <definedName name="MesID1589">'Reciprocation (recognition)'!$A$554</definedName>
    <definedName name="MesID1590">'Reciprocation (recognition)'!$A$370</definedName>
    <definedName name="MesID1591">'Reciprocation (recognition)'!$A$419</definedName>
    <definedName name="MesID1592">'Reciprocation (recognition)'!$A$19</definedName>
    <definedName name="MesID1593">'Reciprocation (recognition)'!$A$21</definedName>
    <definedName name="MesID1594">'Reciprocation (recognition)'!$A$317</definedName>
    <definedName name="MesID1598">'Reciprocation (recognition)'!$A$262</definedName>
    <definedName name="MesID1599">'Reciprocation (recognition)'!$A$398</definedName>
    <definedName name="MesID1600">'Reciprocation (recognition)'!$A$401</definedName>
    <definedName name="MesID1603">'Reciprocation (recognition)'!$A$306</definedName>
    <definedName name="MesID1604">'Reciprocation (recognition)'!$A$298</definedName>
    <definedName name="MesID1605">'Reciprocation (recognition)'!$A$296</definedName>
    <definedName name="MesID1608">'Reciprocation (recognition)'!$A$435</definedName>
    <definedName name="MesID1609">'Reciprocation (recognition)'!$A$428</definedName>
    <definedName name="MesID1612">'Reciprocation (recognition)'!$A$531</definedName>
    <definedName name="MesID1614">'Reciprocation (recognition)'!$A$12</definedName>
    <definedName name="MesID1615">'Reciprocation (recognition)'!$A$128</definedName>
    <definedName name="MesID1616">'Reciprocation (recognition)'!$A$314</definedName>
    <definedName name="MesID1618">'Reciprocation (recognition)'!$A$528</definedName>
    <definedName name="MesID1620">'Reciprocation (recognition)'!$A$468</definedName>
    <definedName name="MesID1621">'Reciprocation (recognition)'!$A$461</definedName>
    <definedName name="MesID1622">'Reciprocation (recognition)'!$A$98</definedName>
    <definedName name="MesID1623">'Reciprocation (recognition)'!$A$102</definedName>
    <definedName name="MesID1624">'Reciprocation (recognition)'!$A$432</definedName>
    <definedName name="MesID1625">'Reciprocation (recognition)'!$A$208</definedName>
    <definedName name="MesID1626">'Reciprocation (recognition)'!$A$225</definedName>
    <definedName name="MesID1627">'Reciprocation (recognition)'!$A$219</definedName>
    <definedName name="MesID1628">'Reciprocation (recognition)'!$A$226</definedName>
    <definedName name="MesID1629">'Reciprocation (recognition)'!$A$241</definedName>
    <definedName name="MesID1630">'Reciprocation (recognition)'!$A$230</definedName>
    <definedName name="MesID1631">'Reciprocation (recognition)'!$A$29</definedName>
    <definedName name="MesID1632">'Reciprocation (recognition)'!$A$202</definedName>
    <definedName name="MesID1641">'Reciprocation (recognition)'!$A$335</definedName>
    <definedName name="MesID1642">'Reciprocation (recognition)'!$A$344</definedName>
    <definedName name="MesID1643">'Reciprocation (recognition)'!$A$332</definedName>
    <definedName name="MesID1646">'Reciprocation (recognition)'!$A$164</definedName>
    <definedName name="MesID1647">'Reciprocation (recognition)'!$A$52</definedName>
    <definedName name="MesID1648">'Reciprocation (recognition)'!$A$64</definedName>
    <definedName name="MesID1652">'Reciprocation (recognition)'!$A$272</definedName>
    <definedName name="MesID1657">'Reciprocation (recognition)'!$A$376</definedName>
    <definedName name="MesID1658">'Reciprocation (recognition)'!$A$418</definedName>
    <definedName name="MesID1662">'Reciprocation (recognition)'!$A$189</definedName>
    <definedName name="MesID1663">'Reciprocation (recognition)'!$A$78</definedName>
    <definedName name="MesID1664">'Reciprocation (recognition)'!$A$71</definedName>
    <definedName name="MesID1667">'Reciprocation (recognition)'!$A$415</definedName>
    <definedName name="MesID1673">'Reciprocation (recognition)'!$A$434</definedName>
    <definedName name="MesID1681">'Reciprocation (recognition)'!$A$103</definedName>
    <definedName name="MesID1682">'Reciprocation (recognition)'!$A$548</definedName>
    <definedName name="MesID1693">'Reciprocation (recognition)'!$A$453</definedName>
    <definedName name="MesID1694">'Reciprocation (recognition)'!$A$455</definedName>
    <definedName name="MesID1698">'Reciprocation (recognition)'!$A$363</definedName>
    <definedName name="MesID179">'Reciprocation (recognition)'!$A$535</definedName>
    <definedName name="MesID264">'Reciprocation (recognition)'!$A$454</definedName>
    <definedName name="MesID269">'Reciprocation (recognition)'!$A$122</definedName>
    <definedName name="MesID270">'Reciprocation (recognition)'!$A$342</definedName>
    <definedName name="MesID272">'Reciprocation (recognition)'!$A$101</definedName>
    <definedName name="MesID273">'Reciprocation (recognition)'!$A$13</definedName>
    <definedName name="MesID274">'Reciprocation (recognition)'!$A$174</definedName>
    <definedName name="MesID275">'Reciprocation (recognition)'!$A$264</definedName>
    <definedName name="MesID276">'Reciprocation (recognition)'!$A$558</definedName>
    <definedName name="MesID277">'Reciprocation (recognition)'!$A$270</definedName>
    <definedName name="MesID278">'Reciprocation (recognition)'!$A$529</definedName>
    <definedName name="MesID280">'Reciprocation (recognition)'!$A$483</definedName>
    <definedName name="MesID281">'Reciprocation (recognition)'!$A$436</definedName>
    <definedName name="MesID282">'Reciprocation (recognition)'!$A$487</definedName>
    <definedName name="MesID285">'Reciprocation (recognition)'!$A$97</definedName>
    <definedName name="MesID286">'Reciprocation (recognition)'!$A$273</definedName>
    <definedName name="MesID287">'Reciprocation (recognition)'!$A$290</definedName>
    <definedName name="MesID288">'Reciprocation (recognition)'!$A$294</definedName>
    <definedName name="MesID289">'Reciprocation (recognition)'!$A$378</definedName>
    <definedName name="MesID290">'Reciprocation (recognition)'!$A$438</definedName>
    <definedName name="MesID291">'Reciprocation (recognition)'!$A$261</definedName>
    <definedName name="MesID292">'Reciprocation (recognition)'!$A$176</definedName>
    <definedName name="MesID293">'Reciprocation (recognition)'!$A$11</definedName>
    <definedName name="MesID294">'Reciprocation (recognition)'!$A$532</definedName>
    <definedName name="MesID295">'Reciprocation (recognition)'!$A$448</definedName>
    <definedName name="MesID296">'Reciprocation (recognition)'!$A$333</definedName>
    <definedName name="MesID297">'Reciprocation (recognition)'!$A$6</definedName>
    <definedName name="MesID312">'Reciprocation (recognition)'!$A$152</definedName>
    <definedName name="MesID318">'Reciprocation (recognition)'!$A$402</definedName>
    <definedName name="MesID323">'Reciprocation (recognition)'!$A$355</definedName>
    <definedName name="MesID333">'Reciprocation (recognition)'!$A$533</definedName>
    <definedName name="MesID334">'Reciprocation (recognition)'!$A$536</definedName>
    <definedName name="MesID337">'Reciprocation (recognition)'!$A$119</definedName>
    <definedName name="MesID338">'Reciprocation (recognition)'!$A$368</definedName>
    <definedName name="MesID339">'Reciprocation (recognition)'!$A$136</definedName>
    <definedName name="MesID344">'Reciprocation (recognition)'!$A$141</definedName>
    <definedName name="MesID350">'Reciprocation (recognition)'!$A$217</definedName>
    <definedName name="MesID351">'Reciprocation (recognition)'!$A$204</definedName>
    <definedName name="MesID352">'Reciprocation (recognition)'!$A$556</definedName>
    <definedName name="MesID358">'Reciprocation (recognition)'!$A$33</definedName>
    <definedName name="MesID359">'Reciprocation (recognition)'!$A$30</definedName>
    <definedName name="MesID366">'Reciprocation (recognition)'!$A$68</definedName>
    <definedName name="MesID368">'Reciprocation (recognition)'!$A$69</definedName>
    <definedName name="MesID372">'Reciprocation (recognition)'!$A$53</definedName>
    <definedName name="MesID374">'Reciprocation (recognition)'!$A$51</definedName>
    <definedName name="MesID382">'Reciprocation (recognition)'!$A$467</definedName>
    <definedName name="MesID384">'Reciprocation (recognition)'!$A$470</definedName>
    <definedName name="MesID450">'Reciprocation (recognition)'!$A$537</definedName>
    <definedName name="MesID451">'Reciprocation (recognition)'!$A$192</definedName>
    <definedName name="MesID458">'Reciprocation (recognition)'!$A$253</definedName>
    <definedName name="MesID459">'Reciprocation (recognition)'!$A$482</definedName>
    <definedName name="MesID460">'Reciprocation (recognition)'!$A$210</definedName>
    <definedName name="MesID462">'Reciprocation (recognition)'!$A$285</definedName>
    <definedName name="MesID463">'Reciprocation (recognition)'!$A$146</definedName>
    <definedName name="MesID464">'Reciprocation (recognition)'!$A$429</definedName>
    <definedName name="MesID466">'Reciprocation (recognition)'!$A$8</definedName>
    <definedName name="MesID467">'Reciprocation (recognition)'!$A$27</definedName>
    <definedName name="MesID468">'Reciprocation (recognition)'!$A$360</definedName>
    <definedName name="MesID469">'Reciprocation (recognition)'!$A$527</definedName>
    <definedName name="MesID470">'Reciprocation (recognition)'!$A$114</definedName>
    <definedName name="MesID471">'Reciprocation (recognition)'!$A$457</definedName>
    <definedName name="MesID475">'Reciprocation (recognition)'!$A$500</definedName>
    <definedName name="MesID476">'Reciprocation (recognition)'!$A$132</definedName>
    <definedName name="MesID477">'Reciprocation (recognition)'!$A$70</definedName>
    <definedName name="MesID478">'Reciprocation (recognition)'!$A$400</definedName>
    <definedName name="MesID479">'Reciprocation (recognition)'!$A$100</definedName>
    <definedName name="MesID480">'Reciprocation (recognition)'!$A$502</definedName>
    <definedName name="MesID481">'Reciprocation (recognition)'!$A$343</definedName>
    <definedName name="MesID484">'Reciprocation (recognition)'!$A$181</definedName>
    <definedName name="MesID487">'Reciprocation (recognition)'!$A$50</definedName>
    <definedName name="MesID488">'Reciprocation (recognition)'!$A$420</definedName>
    <definedName name="MesID510">'Reciprocation (recognition)'!$A$462</definedName>
    <definedName name="MesID538">'Reciprocation (recognition)'!$A$524</definedName>
    <definedName name="MesID540">'Reciprocation (recognition)'!$A$555</definedName>
    <definedName name="MesID569">'Reciprocation (recognition)'!$A$180</definedName>
    <definedName name="MesID570">'Reciprocation (recognition)'!$A$124</definedName>
    <definedName name="MesID571">'Reciprocation (recognition)'!$A$266</definedName>
    <definedName name="MesID572">'Reciprocation (recognition)'!$A$503</definedName>
    <definedName name="MesID573">'Reciprocation (recognition)'!$A$194</definedName>
    <definedName name="MesID578">'Reciprocation (recognition)'!$A$469</definedName>
    <definedName name="MesID580">'Reciprocation (recognition)'!$A$452</definedName>
    <definedName name="MesID588">'Reciprocation (recognition)'!$A$281</definedName>
    <definedName name="MesID589">'Reciprocation (recognition)'!$A$118</definedName>
    <definedName name="MesID592">'Reciprocation (recognition)'!$A$347</definedName>
    <definedName name="MesID598">'Reciprocation (recognition)'!$A$352</definedName>
    <definedName name="MesID599">'Reciprocation (recognition)'!$A$486</definedName>
    <definedName name="MesID603">'Reciprocation (recognition)'!$A$426</definedName>
    <definedName name="MesID610">'Reciprocation (recognition)'!$A$157</definedName>
    <definedName name="MesID611">'Reciprocation (recognition)'!$A$160</definedName>
    <definedName name="MesID615">'Reciprocation (recognition)'!$A$207</definedName>
    <definedName name="MesID618">'Reciprocation (recognition)'!$A$492</definedName>
    <definedName name="MesID619">'Reciprocation (recognition)'!$A$410</definedName>
    <definedName name="MesID621">'Reciprocation (recognition)'!$A$106</definedName>
    <definedName name="MesID622">'Reciprocation (recognition)'!$A$108</definedName>
    <definedName name="MesID623">'Reciprocation (recognition)'!$A$9</definedName>
    <definedName name="MesID624">'Reciprocation (recognition)'!$A$7</definedName>
    <definedName name="MesID625">'Reciprocation (recognition)'!$A$75</definedName>
    <definedName name="MesID626">'Reciprocation (recognition)'!$A$139</definedName>
    <definedName name="MesID628">'Reciprocation (recognition)'!$A$150</definedName>
    <definedName name="MesID629">'Reciprocation (recognition)'!$A$484</definedName>
    <definedName name="MesID630">'Reciprocation (recognition)'!$A$183</definedName>
    <definedName name="MesID631">'Reciprocation (recognition)'!$A$496</definedName>
    <definedName name="MesID632">'Reciprocation (recognition)'!$A$196</definedName>
    <definedName name="MesID633">'Reciprocation (recognition)'!$A$491</definedName>
    <definedName name="MesID634">'Reciprocation (recognition)'!$A$24</definedName>
    <definedName name="MesID635">'Reciprocation (recognition)'!$A$393</definedName>
    <definedName name="MesID636">'Reciprocation (recognition)'!$A$405</definedName>
    <definedName name="MesID637">'Reciprocation (recognition)'!$A$127</definedName>
    <definedName name="MesID638">'Reciprocation (recognition)'!$A$137</definedName>
    <definedName name="MesID639">'Reciprocation (recognition)'!$A$115</definedName>
    <definedName name="MesID640">'Reciprocation (recognition)'!$A$522</definedName>
    <definedName name="MesID641">'Reciprocation (recognition)'!$A$517</definedName>
    <definedName name="MesID642">'Reciprocation (recognition)'!$A$525</definedName>
    <definedName name="MesID647">'Reciprocation (recognition)'!$A$279</definedName>
    <definedName name="MesID648">'Reciprocation (recognition)'!$A$274</definedName>
    <definedName name="MesID649">'Reciprocation (recognition)'!$A$265</definedName>
    <definedName name="MesID650">'Reciprocation (recognition)'!$A$267</definedName>
    <definedName name="MesID653">'Reciprocation (recognition)'!$A$458</definedName>
    <definedName name="MesID654">'Reciprocation (recognition)'!$A$92</definedName>
    <definedName name="MesID655">'Reciprocation (recognition)'!$A$201</definedName>
    <definedName name="MesID656">'Reciprocation (recognition)'!$A$65</definedName>
    <definedName name="MesID657">'Reciprocation (recognition)'!$A$211</definedName>
    <definedName name="MesID658">'Reciprocation (recognition)'!$A$216</definedName>
    <definedName name="MesID659">'Reciprocation (recognition)'!$A$338</definedName>
    <definedName name="MesID660">'Reciprocation (recognition)'!$A$357</definedName>
    <definedName name="MesID661">'Reciprocation (recognition)'!$A$356</definedName>
    <definedName name="MesID662">'Reciprocation (recognition)'!$A$422</definedName>
    <definedName name="MesID663">'Reciprocation (recognition)'!$A$421</definedName>
    <definedName name="MesID664">'Reciprocation (recognition)'!$A$411</definedName>
    <definedName name="MesID665">'Reciprocation (recognition)'!$A$18</definedName>
    <definedName name="MesID666">'Reciprocation (recognition)'!$A$25</definedName>
    <definedName name="MesID667">'Reciprocation (recognition)'!$A$73</definedName>
    <definedName name="MesID668">'Reciprocation (recognition)'!$A$84</definedName>
    <definedName name="MesID669">'Reciprocation (recognition)'!$A$77</definedName>
    <definedName name="MesID670">'Reciprocation (recognition)'!$A$10</definedName>
    <definedName name="MesID671">'Reciprocation (recognition)'!$A$485</definedName>
    <definedName name="MesID673">'Reciprocation (recognition)'!$A$431</definedName>
    <definedName name="MesID674">'Reciprocation (recognition)'!$A$442</definedName>
    <definedName name="MesID676">'Reciprocation (recognition)'!$A$293</definedName>
    <definedName name="MesID677">'Reciprocation (recognition)'!$A$301</definedName>
    <definedName name="MesID678">'Reciprocation (recognition)'!$A$286</definedName>
    <definedName name="MesID679">'Reciprocation (recognition)'!$A$297</definedName>
    <definedName name="MesID680">'Reciprocation (recognition)'!$A$474</definedName>
    <definedName name="MesID681">'Reciprocation (recognition)'!$A$479</definedName>
    <definedName name="MesID682">'Reciprocation (recognition)'!$A$445</definedName>
    <definedName name="MesID683">'Reciprocation (recognition)'!$A$389</definedName>
    <definedName name="MesID684">'Reciprocation (recognition)'!$A$143</definedName>
    <definedName name="MesID685">'Reciprocation (recognition)'!$A$346</definedName>
    <definedName name="MesID687">'Reciprocation (recognition)'!$A$173</definedName>
    <definedName name="MesID688">'Reciprocation (recognition)'!$A$542</definedName>
    <definedName name="MesID689">'Reciprocation (recognition)'!$A$541</definedName>
    <definedName name="MesID697">'Reciprocation (recognition)'!$A$557</definedName>
    <definedName name="MesID699">'Reciprocation (recognition)'!$A$260</definedName>
    <definedName name="MesID700">'Reciprocation (recognition)'!$A$61</definedName>
    <definedName name="MesID701">'Reciprocation (recognition)'!$A$59</definedName>
    <definedName name="MesID702">'Reciprocation (recognition)'!$A$67</definedName>
    <definedName name="MesID703">'Reciprocation (recognition)'!$A$177</definedName>
    <definedName name="MesID706">'Reciprocation (recognition)'!$A$117</definedName>
    <definedName name="MesID711">'Reciprocation (recognition)'!$A$163</definedName>
    <definedName name="MesID712">'Reciprocation (recognition)'!$A$154</definedName>
    <definedName name="MesID713">'Reciprocation (recognition)'!$A$379</definedName>
    <definedName name="MesID715">'Reciprocation (recognition)'!$A$373</definedName>
    <definedName name="MesID716">'Reciprocation (recognition)'!$A$381</definedName>
    <definedName name="MesID777">'Reciprocation (recognition)'!$A$387</definedName>
    <definedName name="MesID825">'Reciprocation (recognition)'!$A$324</definedName>
    <definedName name="MesID826">'Reciprocation (recognition)'!$A$321</definedName>
    <definedName name="MesID827">'Reciprocation (recognition)'!$A$329</definedName>
    <definedName name="MesID828">'Reciprocation (recognition)'!$A$326</definedName>
    <definedName name="MesID831">'Reciprocation (recognition)'!$A$239</definedName>
    <definedName name="MesID832">'Reciprocation (recognition)'!$A$243</definedName>
    <definedName name="MesID833">'Reciprocation (recognition)'!$A$245</definedName>
    <definedName name="MesID834">'Reciprocation (recognition)'!$A$232</definedName>
    <definedName name="MesID835">'Reciprocation (recognition)'!$A$229</definedName>
    <definedName name="MesID918">'Reciprocation (recognition)'!$A$358</definedName>
    <definedName name="MesID932">'Reciprocation (recognition)'!$A$493</definedName>
    <definedName name="MesID933">'Reciprocation (recognition)'!$A$120</definedName>
    <definedName name="MesID934">'Reciprocation (recognition)'!$A$477</definedName>
    <definedName name="MesID935">'Reciprocation (recognition)'!$A$471</definedName>
    <definedName name="MesID936">'Reciprocation (recognition)'!$A$475</definedName>
    <definedName name="MesID937">'Reciprocation (recognition)'!$A$465</definedName>
    <definedName name="MesID938">'Reciprocation (recognition)'!$A$17</definedName>
    <definedName name="MesID939">'Reciprocation (recognition)'!$A$28</definedName>
    <definedName name="MesID941">'Reciprocation (recognition)'!$A$14</definedName>
    <definedName name="MesID942">'Reciprocation (recognition)'!$A$23</definedName>
    <definedName name="MesID943">'Reciprocation (recognition)'!$A$391</definedName>
    <definedName name="MesID944">'Reciprocation (recognition)'!$A$392</definedName>
    <definedName name="MesID945">'Reciprocation (recognition)'!$A$409</definedName>
    <definedName name="MesID946">'Reciprocation (recognition)'!$A$397</definedName>
    <definedName name="MesID947">'Reciprocation (recognition)'!$A$203</definedName>
    <definedName name="MesID948">'Reciprocation (recognition)'!$A$191</definedName>
    <definedName name="MesID949">'Reciprocation (recognition)'!$A$190</definedName>
    <definedName name="MesID950">'Reciprocation (recognition)'!$A$320</definedName>
    <definedName name="MesID951">'Reciprocation (recognition)'!$A$328</definedName>
    <definedName name="MesID952">'Reciprocation (recognition)'!$A$325</definedName>
    <definedName name="MesID953">'Reciprocation (recognition)'!$A$327</definedName>
    <definedName name="MesID954">'Reciprocation (recognition)'!$A$322</definedName>
    <definedName name="MesID955">'Reciprocation (recognition)'!$A$489</definedName>
    <definedName name="MesID956">'Reciprocation (recognition)'!$A$505</definedName>
    <definedName name="MesID957">'Reciprocation (recognition)'!$A$497</definedName>
    <definedName name="MesID958">'Reciprocation (recognition)'!$A$380</definedName>
    <definedName name="MesID959">'Reciprocation (recognition)'!$A$375</definedName>
    <definedName name="MesID960">'Reciprocation (recognition)'!$A$377</definedName>
    <definedName name="MesID961">'Reciprocation (recognition)'!$A$371</definedName>
    <definedName name="MesID962">'Reciprocation (recognition)'!$A$168</definedName>
    <definedName name="MesID963">'Reciprocation (recognition)'!$A$158</definedName>
    <definedName name="MesID964">'Reciprocation (recognition)'!$A$155</definedName>
    <definedName name="MesID965">'Reciprocation (recognition)'!$A$162</definedName>
    <definedName name="MesID966">'Reciprocation (recognition)'!$A$58</definedName>
    <definedName name="MesID967">'Reciprocation (recognition)'!$A$57</definedName>
    <definedName name="MesID968">'Reciprocation (recognition)'!$A$54</definedName>
    <definedName name="MesID969">'Reciprocation (recognition)'!$A$63</definedName>
    <definedName name="MesID970">'Reciprocation (recognition)'!$A$534</definedName>
    <definedName name="MesID971">'Reciprocation (recognition)'!$A$550</definedName>
    <definedName name="MesID972">'Reciprocation (recognition)'!$A$95</definedName>
    <definedName name="MesID973">'Reciprocation (recognition)'!$A$96</definedName>
    <definedName name="MesID974">'Reciprocation (recognition)'!$A$107</definedName>
    <definedName name="MesID975">'Reciprocation (recognition)'!$A$109</definedName>
    <definedName name="MesID976">'Reciprocation (recognition)'!$A$282</definedName>
    <definedName name="MesID977">'Reciprocation (recognition)'!$A$515</definedName>
    <definedName name="MesID978">'Reciprocation (recognition)'!$A$511</definedName>
    <definedName name="MesID979">'Reciprocation (recognition)'!$A$513</definedName>
    <definedName name="MesID980">'Reciprocation (recognition)'!$A$510</definedName>
    <definedName name="MesID985">'Reciprocation (recognition)'!$A$364</definedName>
    <definedName name="MesID986">'Reciprocation (recognition)'!$A$349</definedName>
    <definedName name="MesID987">'Reciprocation (recognition)'!$A$242</definedName>
    <definedName name="MesID988">'Reciprocation (recognition)'!$A$246</definedName>
    <definedName name="MesID989">'Reciprocation (recognition)'!$A$244</definedName>
    <definedName name="MesID99">'Reciprocation (recognition)'!$A$113</definedName>
    <definedName name="MesID990">'Reciprocation (recognition)'!$A$240</definedName>
    <definedName name="MesID991">'Reciprocation (recognition)'!$A$111</definedName>
    <definedName name="MesID992">'Reciprocation (recognition)'!$A$121</definedName>
    <definedName name="MesID993">'Reciprocation (recognition)'!$A$147</definedName>
    <definedName name="MesID994">'Reciprocation (recognition)'!$A$148</definedName>
    <definedName name="MesID995">'Reciprocation (recognition)'!$A$134</definedName>
    <definedName name="MesID996">'Reciprocation (recognition)'!$A$129</definedName>
    <definedName name="MesID997">'Reciprocation (recognition)'!$A$138</definedName>
    <definedName name="MesID998">'Reciprocation (recognition)'!$A$125</definedName>
    <definedName name="MesID999">'Reciprocation (recognition)'!$A$255</definedName>
    <definedName name="typeofmeasure" localSheetId="6">#REF!</definedName>
    <definedName name="typeofmeasure" localSheetId="2">[1]Sheet1!$F$309:$F$326</definedName>
    <definedName name="typeofmeasure" localSheetId="4">#REF!</definedName>
    <definedName name="typeofmeasure" localSheetId="5">#REF!</definedName>
    <definedName name="typeofmeasure" localSheetId="0">[1]Sheet1!$F$309:$F$326</definedName>
    <definedName name="typeofmeasur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7" i="9" l="1"/>
  <c r="AM36" i="9"/>
  <c r="AL36" i="9"/>
  <c r="AJ36" i="9"/>
  <c r="AI36" i="9"/>
  <c r="AH36" i="9"/>
  <c r="AG36" i="9"/>
  <c r="AF36" i="9"/>
  <c r="AE36" i="9"/>
  <c r="AD36" i="9"/>
  <c r="AC36" i="9"/>
  <c r="AB36" i="9"/>
  <c r="AA36" i="9"/>
  <c r="Z36" i="9"/>
  <c r="Y36" i="9"/>
  <c r="X36" i="9"/>
  <c r="W36" i="9"/>
  <c r="V36" i="9"/>
  <c r="U36" i="9"/>
  <c r="T36" i="9"/>
  <c r="S36" i="9"/>
  <c r="R36" i="9"/>
  <c r="Q36" i="9"/>
  <c r="P36" i="9"/>
  <c r="O36" i="9"/>
  <c r="N36" i="9"/>
  <c r="M36" i="9"/>
  <c r="K36" i="9"/>
  <c r="J36" i="9"/>
  <c r="AJ35" i="9"/>
  <c r="AI35" i="9"/>
  <c r="AH35" i="9"/>
  <c r="AG35" i="9"/>
  <c r="AE35" i="9"/>
  <c r="AD35" i="9"/>
  <c r="AB35" i="9"/>
  <c r="Z35" i="9"/>
  <c r="Y35" i="9"/>
  <c r="X35" i="9"/>
  <c r="W35" i="9"/>
  <c r="V35" i="9"/>
  <c r="U35" i="9"/>
  <c r="T35" i="9"/>
  <c r="S35" i="9"/>
  <c r="R35" i="9"/>
  <c r="Q35" i="9"/>
  <c r="N35" i="9"/>
  <c r="M35" i="9"/>
  <c r="L35" i="9"/>
  <c r="K35" i="9"/>
  <c r="AL34" i="9"/>
  <c r="AC34" i="9"/>
  <c r="W34" i="9"/>
  <c r="S34" i="9"/>
  <c r="AA33" i="9"/>
  <c r="U33" i="9"/>
  <c r="Q33" i="9"/>
  <c r="L33" i="9"/>
  <c r="AL32" i="9"/>
  <c r="AK32" i="9"/>
  <c r="AJ32" i="9"/>
  <c r="AH32" i="9"/>
  <c r="AG32" i="9"/>
  <c r="AE32" i="9"/>
  <c r="AD32" i="9"/>
  <c r="AC32" i="9"/>
  <c r="AB32" i="9"/>
  <c r="AA32" i="9"/>
  <c r="Z32" i="9"/>
  <c r="Y32" i="9"/>
  <c r="X32" i="9"/>
  <c r="W32" i="9"/>
  <c r="V32" i="9"/>
  <c r="R32" i="9"/>
  <c r="M32" i="9"/>
  <c r="L32" i="9"/>
  <c r="K32" i="9"/>
  <c r="AL31" i="9"/>
  <c r="AK31" i="9"/>
  <c r="AJ31" i="9"/>
  <c r="AI31" i="9"/>
  <c r="AF31" i="9"/>
  <c r="AE31" i="9"/>
  <c r="AD31" i="9"/>
  <c r="AC31" i="9"/>
  <c r="AB31" i="9"/>
  <c r="AA31" i="9"/>
  <c r="Z31" i="9"/>
  <c r="Y31" i="9"/>
  <c r="X31" i="9"/>
  <c r="W31" i="9"/>
  <c r="V31" i="9"/>
  <c r="U31" i="9"/>
  <c r="T31" i="9"/>
  <c r="R31" i="9"/>
  <c r="Q31" i="9"/>
  <c r="O31" i="9"/>
  <c r="N31" i="9"/>
  <c r="M31" i="9"/>
  <c r="L31" i="9"/>
  <c r="K31" i="9"/>
  <c r="AK30" i="9"/>
  <c r="AJ30" i="9"/>
  <c r="AF30" i="9"/>
  <c r="AD30" i="9"/>
  <c r="AC30" i="9"/>
  <c r="AA30" i="9"/>
  <c r="X30" i="9"/>
  <c r="W30" i="9"/>
  <c r="T30" i="9"/>
  <c r="S30" i="9"/>
  <c r="R30" i="9"/>
  <c r="P30" i="9"/>
  <c r="O30" i="9"/>
  <c r="N30" i="9"/>
  <c r="M30" i="9"/>
  <c r="L30" i="9"/>
  <c r="AK29" i="9"/>
  <c r="P29" i="9"/>
  <c r="AL28" i="9"/>
  <c r="AK28" i="9"/>
  <c r="AJ28" i="9"/>
  <c r="AF28" i="9"/>
  <c r="AE28" i="9"/>
  <c r="AD28" i="9"/>
  <c r="AC28" i="9"/>
  <c r="Y28" i="9"/>
  <c r="X28" i="9"/>
  <c r="W28" i="9"/>
  <c r="V28" i="9"/>
  <c r="U28" i="9"/>
  <c r="T28" i="9"/>
  <c r="S28" i="9"/>
  <c r="R28" i="9"/>
  <c r="Q28" i="9"/>
  <c r="P28" i="9"/>
  <c r="O28" i="9"/>
  <c r="N28" i="9"/>
  <c r="M28" i="9"/>
  <c r="L28" i="9"/>
  <c r="K28" i="9"/>
  <c r="AL27" i="9"/>
  <c r="AK27" i="9"/>
  <c r="AJ27" i="9"/>
  <c r="AF27" i="9"/>
  <c r="AE27" i="9"/>
  <c r="AD27" i="9"/>
  <c r="AC27" i="9"/>
  <c r="AB27" i="9"/>
  <c r="Y27" i="9"/>
  <c r="X27" i="9"/>
  <c r="W27" i="9"/>
  <c r="V27" i="9"/>
  <c r="U27" i="9"/>
  <c r="T27" i="9"/>
  <c r="S27" i="9"/>
  <c r="R27" i="9"/>
  <c r="Q27" i="9"/>
  <c r="P27" i="9"/>
  <c r="O27" i="9"/>
  <c r="N27" i="9"/>
  <c r="M27" i="9"/>
  <c r="L27" i="9"/>
  <c r="K27" i="9"/>
  <c r="AK26" i="9"/>
  <c r="AJ26" i="9"/>
  <c r="AA26" i="9"/>
  <c r="W26" i="9"/>
  <c r="S26" i="9"/>
  <c r="R26" i="9"/>
  <c r="N26" i="9"/>
  <c r="M26" i="9"/>
  <c r="L26" i="9"/>
  <c r="AK25" i="9"/>
  <c r="AJ25" i="9"/>
  <c r="AA25" i="9"/>
  <c r="W25" i="9"/>
  <c r="S25" i="9"/>
  <c r="R25" i="9"/>
  <c r="N25" i="9"/>
  <c r="M25" i="9"/>
  <c r="L25" i="9"/>
  <c r="AG24" i="9"/>
  <c r="AD24" i="9"/>
  <c r="AC24" i="9"/>
  <c r="AB24" i="9"/>
  <c r="AA24" i="9"/>
  <c r="W24" i="9"/>
  <c r="T24" i="9"/>
  <c r="R24" i="9"/>
  <c r="O24" i="9"/>
  <c r="L24" i="9"/>
  <c r="AL23" i="9"/>
  <c r="AJ23" i="9"/>
  <c r="AI23" i="9"/>
  <c r="AH23" i="9"/>
  <c r="Z23" i="9"/>
  <c r="Y23" i="9"/>
  <c r="X23" i="9"/>
  <c r="U23" i="9"/>
  <c r="N23" i="9"/>
  <c r="M23" i="9"/>
  <c r="K23" i="9"/>
  <c r="AL22" i="9"/>
  <c r="AK22" i="9"/>
  <c r="AJ22" i="9"/>
  <c r="AI22" i="9"/>
  <c r="AH22" i="9"/>
  <c r="AG22" i="9"/>
  <c r="AF22" i="9"/>
  <c r="AE22" i="9"/>
  <c r="AD22" i="9"/>
  <c r="AB22" i="9"/>
  <c r="AA22" i="9"/>
  <c r="Z22" i="9"/>
  <c r="Y22" i="9"/>
  <c r="X22" i="9"/>
  <c r="W22" i="9"/>
  <c r="V22" i="9"/>
  <c r="U22" i="9"/>
  <c r="T22" i="9"/>
  <c r="R22" i="9"/>
  <c r="Q22" i="9"/>
  <c r="P22" i="9"/>
  <c r="O22" i="9"/>
  <c r="N22" i="9"/>
  <c r="M22" i="9"/>
  <c r="L22" i="9"/>
  <c r="K22" i="9"/>
  <c r="AL21" i="9"/>
  <c r="AK21" i="9"/>
  <c r="AJ21" i="9"/>
  <c r="AI21" i="9"/>
  <c r="AH21" i="9"/>
  <c r="AG21" i="9"/>
  <c r="AF21" i="9"/>
  <c r="AC21" i="9"/>
  <c r="AA21" i="9"/>
  <c r="Z21" i="9"/>
  <c r="Y21" i="9"/>
  <c r="X21" i="9"/>
  <c r="W21" i="9"/>
  <c r="V21" i="9"/>
  <c r="U21" i="9"/>
  <c r="T21" i="9"/>
  <c r="R21" i="9"/>
  <c r="O21" i="9"/>
  <c r="N21" i="9"/>
  <c r="M21" i="9"/>
  <c r="L21" i="9"/>
  <c r="K21" i="9"/>
  <c r="AK20" i="9"/>
  <c r="AH20" i="9"/>
  <c r="AF20" i="9"/>
  <c r="AE20" i="9"/>
  <c r="AD20" i="9"/>
  <c r="AC20" i="9"/>
  <c r="AB20" i="9"/>
  <c r="AA20" i="9"/>
  <c r="Y20" i="9"/>
  <c r="X20" i="9"/>
  <c r="W20" i="9"/>
  <c r="V20" i="9"/>
  <c r="U20" i="9"/>
  <c r="T20" i="9"/>
  <c r="R20" i="9"/>
  <c r="Q20" i="9"/>
  <c r="N20" i="9"/>
  <c r="K20" i="9"/>
  <c r="AA19" i="9"/>
  <c r="AN18" i="9"/>
  <c r="AM18" i="9"/>
  <c r="AL18" i="9"/>
  <c r="AK18" i="9"/>
  <c r="AJ18" i="9"/>
  <c r="AI18" i="9"/>
  <c r="AH18" i="9"/>
  <c r="AG18" i="9"/>
  <c r="AF18" i="9"/>
  <c r="AE18" i="9"/>
  <c r="AD18" i="9"/>
  <c r="AC18" i="9"/>
  <c r="AB18" i="9"/>
  <c r="AA18" i="9"/>
  <c r="Z18" i="9"/>
  <c r="Y18" i="9"/>
  <c r="X18" i="9"/>
  <c r="W18" i="9"/>
  <c r="V18" i="9"/>
  <c r="U18" i="9"/>
  <c r="S18" i="9"/>
  <c r="R18" i="9"/>
  <c r="Q18" i="9"/>
  <c r="P18" i="9"/>
  <c r="O18" i="9"/>
  <c r="N18" i="9"/>
  <c r="M18" i="9"/>
  <c r="L18" i="9"/>
  <c r="K18" i="9"/>
  <c r="J18" i="9"/>
  <c r="AM17" i="9"/>
  <c r="AL17" i="9"/>
  <c r="AK17" i="9"/>
  <c r="AJ17" i="9"/>
  <c r="AI17" i="9"/>
  <c r="AH17" i="9"/>
  <c r="AG17" i="9"/>
  <c r="AF17" i="9"/>
  <c r="AE17" i="9"/>
  <c r="AD17" i="9"/>
  <c r="AC17" i="9"/>
  <c r="AB17" i="9"/>
  <c r="AA17" i="9"/>
  <c r="Z17" i="9"/>
  <c r="Y17" i="9"/>
  <c r="X17" i="9"/>
  <c r="W17" i="9"/>
  <c r="V17" i="9"/>
  <c r="U17" i="9"/>
  <c r="T17" i="9"/>
  <c r="R17" i="9"/>
  <c r="Q17" i="9"/>
  <c r="P17" i="9"/>
  <c r="O17" i="9"/>
  <c r="N17" i="9"/>
  <c r="M17" i="9"/>
  <c r="K17" i="9"/>
  <c r="J17" i="9"/>
  <c r="AN16" i="9"/>
  <c r="AM16" i="9"/>
  <c r="AL16" i="9"/>
  <c r="AK16" i="9"/>
  <c r="AJ16" i="9"/>
  <c r="AI16" i="9"/>
  <c r="AH16" i="9"/>
  <c r="AF16" i="9"/>
  <c r="AE16" i="9"/>
  <c r="AD16" i="9"/>
  <c r="AC16" i="9"/>
  <c r="AB16" i="9"/>
  <c r="Z16" i="9"/>
  <c r="X16" i="9"/>
  <c r="W16" i="9"/>
  <c r="V16" i="9"/>
  <c r="T16" i="9"/>
  <c r="S16" i="9"/>
  <c r="R16" i="9"/>
  <c r="P16" i="9"/>
  <c r="O16" i="9"/>
  <c r="N16" i="9"/>
  <c r="M16" i="9"/>
  <c r="L16" i="9"/>
  <c r="K16" i="9"/>
  <c r="J16" i="9"/>
  <c r="AL15" i="9"/>
  <c r="AF15" i="9"/>
  <c r="Y15" i="9"/>
  <c r="X15" i="9"/>
  <c r="V15" i="9"/>
  <c r="U15" i="9"/>
  <c r="T15" i="9"/>
  <c r="S15" i="9"/>
  <c r="R15" i="9"/>
  <c r="M15" i="9"/>
  <c r="K15" i="9"/>
  <c r="AL14" i="9"/>
  <c r="AL13" i="9"/>
  <c r="AK13" i="9"/>
  <c r="AH13" i="9"/>
  <c r="AG13" i="9"/>
  <c r="AF13" i="9"/>
  <c r="AE13" i="9"/>
  <c r="AD13" i="9"/>
  <c r="AC13" i="9"/>
  <c r="AB13" i="9"/>
  <c r="AA13" i="9"/>
  <c r="Z13" i="9"/>
  <c r="Y13" i="9"/>
  <c r="X13" i="9"/>
  <c r="W13" i="9"/>
  <c r="V13" i="9"/>
  <c r="U13" i="9"/>
  <c r="R13" i="9"/>
  <c r="Q13" i="9"/>
  <c r="N13" i="9"/>
  <c r="M13" i="9"/>
  <c r="L13" i="9"/>
  <c r="K13" i="9"/>
  <c r="AK12" i="9"/>
  <c r="W12" i="9"/>
  <c r="L12" i="9"/>
  <c r="AL11" i="9"/>
  <c r="AK11" i="9"/>
  <c r="AJ11" i="9"/>
  <c r="AI11" i="9"/>
  <c r="AH11" i="9"/>
  <c r="AG11" i="9"/>
  <c r="AF11" i="9"/>
  <c r="AE11" i="9"/>
  <c r="AD11" i="9"/>
  <c r="AC11" i="9"/>
  <c r="AB11" i="9"/>
  <c r="AA11" i="9"/>
  <c r="Z11" i="9"/>
  <c r="Y11" i="9"/>
  <c r="X11" i="9"/>
  <c r="W11" i="9"/>
  <c r="V11" i="9"/>
  <c r="U11" i="9"/>
  <c r="T11" i="9"/>
  <c r="R11" i="9"/>
  <c r="Q11" i="9"/>
  <c r="P11" i="9"/>
  <c r="M11" i="9"/>
  <c r="K11" i="9"/>
  <c r="AL10" i="9"/>
  <c r="AJ10" i="9"/>
  <c r="AH10" i="9"/>
  <c r="AG10" i="9"/>
  <c r="AF10" i="9"/>
  <c r="AE10" i="9"/>
  <c r="AD10" i="9"/>
  <c r="AC10" i="9"/>
  <c r="AB10" i="9"/>
  <c r="AA10" i="9"/>
  <c r="Z10" i="9"/>
  <c r="Y10" i="9"/>
  <c r="X10" i="9"/>
  <c r="W10" i="9"/>
  <c r="U10" i="9"/>
  <c r="T10" i="9"/>
  <c r="R10" i="9"/>
  <c r="N10" i="9"/>
  <c r="M10" i="9"/>
  <c r="L10" i="9"/>
  <c r="AL9" i="9"/>
  <c r="AK9" i="9"/>
  <c r="AJ9" i="9"/>
  <c r="AI9" i="9"/>
  <c r="AH9" i="9"/>
  <c r="AG9" i="9"/>
  <c r="AF9" i="9"/>
  <c r="AD9" i="9"/>
  <c r="AC9" i="9"/>
  <c r="AB9" i="9"/>
  <c r="AA9" i="9"/>
  <c r="Z9" i="9"/>
  <c r="Y9" i="9"/>
  <c r="W9" i="9"/>
  <c r="V9" i="9"/>
  <c r="U9" i="9"/>
  <c r="T9" i="9"/>
  <c r="R9" i="9"/>
  <c r="O9" i="9"/>
  <c r="N9" i="9"/>
  <c r="M9" i="9"/>
  <c r="L9" i="9"/>
  <c r="AK8" i="9"/>
  <c r="AJ8" i="9"/>
  <c r="AF8" i="9"/>
  <c r="AC8" i="9"/>
  <c r="AN7" i="9"/>
  <c r="AM7" i="9"/>
  <c r="AI7" i="9"/>
  <c r="AH7" i="9"/>
  <c r="AE7" i="9"/>
  <c r="AD7" i="9"/>
  <c r="AB7" i="9"/>
  <c r="Z7" i="9"/>
  <c r="X7" i="9"/>
  <c r="W7" i="9"/>
  <c r="V7" i="9"/>
  <c r="T7" i="9"/>
  <c r="R7" i="9"/>
  <c r="Q7" i="9"/>
  <c r="P7" i="9"/>
  <c r="O7" i="9"/>
  <c r="N7" i="9"/>
  <c r="M7" i="9"/>
  <c r="L7" i="9"/>
  <c r="J7" i="9"/>
  <c r="AN6" i="9"/>
  <c r="AM6" i="9"/>
  <c r="AL6" i="9"/>
  <c r="AK6" i="9"/>
  <c r="AJ6" i="9"/>
  <c r="AI6" i="9"/>
  <c r="AH6" i="9"/>
  <c r="AG6" i="9"/>
  <c r="AF6" i="9"/>
  <c r="AE6" i="9"/>
  <c r="AD6" i="9"/>
  <c r="AC6" i="9"/>
  <c r="AB6" i="9"/>
  <c r="AA6" i="9"/>
  <c r="Z6" i="9"/>
  <c r="Y6" i="9"/>
  <c r="X6" i="9"/>
  <c r="W6" i="9"/>
  <c r="V6" i="9"/>
  <c r="U6" i="9"/>
  <c r="T6" i="9"/>
  <c r="S6" i="9"/>
  <c r="R6" i="9"/>
  <c r="Q6" i="9"/>
  <c r="P6" i="9"/>
  <c r="O6" i="9"/>
  <c r="N6" i="9"/>
  <c r="M6" i="9"/>
  <c r="J6" i="9"/>
</calcChain>
</file>

<file path=xl/sharedStrings.xml><?xml version="1.0" encoding="utf-8"?>
<sst xmlns="http://schemas.openxmlformats.org/spreadsheetml/2006/main" count="15947" uniqueCount="3442">
  <si>
    <t xml:space="preserve">National measures of macroprudential interest in the EU/EEA </t>
  </si>
  <si>
    <t>Disclamer:</t>
  </si>
  <si>
    <t xml:space="preserve">The information included in this file is provided for information purposes only. </t>
  </si>
  <si>
    <t>Please see the Disclaimer &amp; copyright page for further details.</t>
  </si>
  <si>
    <t xml:space="preserve">Contacts: </t>
  </si>
  <si>
    <t>Emily Beau,emily.beau@ecb.europa.eu, notifications@ecb.europa.eu +49 172 32 33 186</t>
  </si>
  <si>
    <t>Last update:</t>
  </si>
  <si>
    <t>Capital Buffers (sorted by country)</t>
  </si>
  <si>
    <t>i.e.</t>
  </si>
  <si>
    <t>CCoB - Capital Conservation Buffer</t>
  </si>
  <si>
    <t>CCyB - Countercyclical Capital Buffer</t>
  </si>
  <si>
    <t>G-SII buffer - Global Systemically Important Institution Buffer</t>
  </si>
  <si>
    <t>O-SII buffer - Other Systemically Important Institution Buffer</t>
  </si>
  <si>
    <t>SRB - Systemic Risk Buffer</t>
  </si>
  <si>
    <t>Reciprocation of measures</t>
  </si>
  <si>
    <t>Matrix of reciprocation</t>
  </si>
  <si>
    <t>Borrower Based measures</t>
  </si>
  <si>
    <t>Debt-service-to-income (DSTI)</t>
  </si>
  <si>
    <t>Loan-to-income (LTI)</t>
  </si>
  <si>
    <t>Loan-to-value (LTV)</t>
  </si>
  <si>
    <t>Debt-to-income</t>
  </si>
  <si>
    <t>Loan maturity</t>
  </si>
  <si>
    <t>Other measures</t>
  </si>
  <si>
    <t>Leverage ratio</t>
  </si>
  <si>
    <t>Liquidity ratio</t>
  </si>
  <si>
    <t>Loan amortisation</t>
  </si>
  <si>
    <t>Loss-given-default (LGD)</t>
  </si>
  <si>
    <t>Loan-to-deposit (LTD)</t>
  </si>
  <si>
    <t>Pillar II</t>
  </si>
  <si>
    <t>Risk weights</t>
  </si>
  <si>
    <t>Stress test / sensitivity test</t>
  </si>
  <si>
    <t xml:space="preserve">Other </t>
  </si>
  <si>
    <t>Glossary</t>
  </si>
  <si>
    <t>&lt; Table of Contents</t>
  </si>
  <si>
    <t>Capital conservation buffer</t>
  </si>
  <si>
    <t>Relevant dates</t>
  </si>
  <si>
    <t>Revocation/replacement</t>
  </si>
  <si>
    <t>Reference of measure</t>
  </si>
  <si>
    <t>Country</t>
  </si>
  <si>
    <t>Authority</t>
  </si>
  <si>
    <t>Year of initiative</t>
  </si>
  <si>
    <t>Intermediate Objective</t>
  </si>
  <si>
    <t>Description of measure</t>
  </si>
  <si>
    <t>Basis in Union/ National law</t>
  </si>
  <si>
    <t>Measure becomes active on</t>
  </si>
  <si>
    <t>Decision made on</t>
  </si>
  <si>
    <t>ESRB notified on</t>
  </si>
  <si>
    <t>Present status of measure</t>
  </si>
  <si>
    <t>Has the measure been revoked or replaced?</t>
  </si>
  <si>
    <t>Date of revocation/ replacement</t>
  </si>
  <si>
    <t>Note of revocation/ replacement</t>
  </si>
  <si>
    <t>Related links</t>
  </si>
  <si>
    <t>AT.CCOB.506</t>
  </si>
  <si>
    <t>Austria</t>
  </si>
  <si>
    <t>Finanzmarktaufsicht</t>
  </si>
  <si>
    <t>2018</t>
  </si>
  <si>
    <t>Credit growth and leverage</t>
  </si>
  <si>
    <t>The capital conservation buffer is applied from January 1, 2015. It will be phased in gradually so the buffer is 0 in 2015, 0.625 per cent in 2016, 1.25 per cent in 2017, 1.875 per cent in 2018 and 2.5 per cent in 2019.</t>
  </si>
  <si>
    <t>Art. 160(6) CRD</t>
  </si>
  <si>
    <t>Is currently applicable</t>
  </si>
  <si>
    <t>False</t>
  </si>
  <si>
    <t>BE.CCOB.507</t>
  </si>
  <si>
    <t>Belgium</t>
  </si>
  <si>
    <t>Banque Nationale de Belgique / Nationale Bank van België</t>
  </si>
  <si>
    <t>BG.CCOB.62</t>
  </si>
  <si>
    <t>Bulgaria</t>
  </si>
  <si>
    <t>Българска народна банка (Bulgarian National Bank)</t>
  </si>
  <si>
    <t>2014</t>
  </si>
  <si>
    <t>Early introduction at 2.5% level</t>
  </si>
  <si>
    <t>http://www.bnb.bg/PressOffice/POPressReleases/POPRDate/PR_20140529_EN;  http://www.bnb.bg/bnbweb/groups/public/documents/bnb_law/regulations_capital_buffers_en.pdf</t>
  </si>
  <si>
    <t>HR.CCOB.63</t>
  </si>
  <si>
    <t>Croatia</t>
  </si>
  <si>
    <t>Hrvatska Narodna Banka</t>
  </si>
  <si>
    <t>Early introduction: at 2.5% level.</t>
  </si>
  <si>
    <t>https://www.hnb.hr/core-functions/financial-stability/macroprudential-measures/capital-conservation-buffer</t>
  </si>
  <si>
    <t>HR.ECCO.64</t>
  </si>
  <si>
    <t>Hrvatska Agencija za Nadzor Financijskih Usluga (HANFA)</t>
  </si>
  <si>
    <t>2015</t>
  </si>
  <si>
    <t>Exemption of small and medium-sized investment firms from capital conservation buffer.</t>
  </si>
  <si>
    <t>Art. 129(2) CRD</t>
  </si>
  <si>
    <t>CY.CCOB.389</t>
  </si>
  <si>
    <t>Cyprus</t>
  </si>
  <si>
    <t>Central Bank of Cyprus</t>
  </si>
  <si>
    <t>2017</t>
  </si>
  <si>
    <t>The capital conservation buffer had been fully phased-in (2,5%) in 2013 by amending the Business of Credit Institutions Laws. These Laws, were amended on 17 February 2017 and as of that date the capital conservation buffer was phased in as per the transitional period under the CRD i.e. (a) 0.625% until 31 December 2016 (b) 1.25 for the period 1 January 2017 until 31 December 2017 (c) 1.875% for the period from 1 January 2018 until 31 December 2018.  The requirements referred to in point (a) above entered retrospectively into force as from 1 January 2016 and the requirements of point (b) entered retroactively into force as from 1 January 2017.</t>
  </si>
  <si>
    <t>Art. 160 CRD</t>
  </si>
  <si>
    <t>https://www.centralbank.cy/images/media/pdf/GR5_2017_Amendment_BL.pdf</t>
  </si>
  <si>
    <t>CY.CCOB.65</t>
  </si>
  <si>
    <t>2013</t>
  </si>
  <si>
    <t>Early introduction at 2.5% level.</t>
  </si>
  <si>
    <t>National law</t>
  </si>
  <si>
    <t>Not active</t>
  </si>
  <si>
    <t>http://www.centralbank.gov.cy/media/pdf/EN_BL_up_to_6th_amendment_of_2015.pdf</t>
  </si>
  <si>
    <t>CZ.CCOB.66</t>
  </si>
  <si>
    <t>Czech Republic</t>
  </si>
  <si>
    <t>Česká národní banka</t>
  </si>
  <si>
    <t>DK.ECCO.67</t>
  </si>
  <si>
    <t>Denmark</t>
  </si>
  <si>
    <t>Erhvervs-og Vaekstminister (Minister of Business and Growth)</t>
  </si>
  <si>
    <t>Exemption of small and medium-sized investment firms from the capital conservation buffer</t>
  </si>
  <si>
    <t>DK.CCOB.363</t>
  </si>
  <si>
    <t>The capital conservation buffer is applied to all Danish institutions from January 1, 2015. It will be phased in gradually so the buffer is 0 in 2015, 0.625 per cent in 2016, 1.25 per cent in 2017, 1.875 per cent in 2018 and 2.5 per cent in 2019.</t>
  </si>
  <si>
    <t>EE.CCOB.68</t>
  </si>
  <si>
    <t>Estonia</t>
  </si>
  <si>
    <t>Eesti Pank</t>
  </si>
  <si>
    <t>FI.CCOB.69</t>
  </si>
  <si>
    <t>Finland</t>
  </si>
  <si>
    <t>Finanssivalvonta</t>
  </si>
  <si>
    <t>FR.CCOB.495</t>
  </si>
  <si>
    <t>France</t>
  </si>
  <si>
    <t>Haut Conseil de Stabilité Financière</t>
  </si>
  <si>
    <t>DE.CCOB.496</t>
  </si>
  <si>
    <t>Germany</t>
  </si>
  <si>
    <t>Bundesanstalt für Finanzdienstleistungsaufsicht</t>
  </si>
  <si>
    <t>GR.CCOB.497</t>
  </si>
  <si>
    <t>Greece</t>
  </si>
  <si>
    <t>Bank of Greece</t>
  </si>
  <si>
    <t>The capital conservation buffer is applied from January 1, 2015. It was phased in gradually so the buffer was set at 0 in 2015, 0.625 per cent in 2016, 1.25 per cent in 2017and 1.875 per cent in 2018.  It is set at 2.5 per cent from 2019 onwards.</t>
  </si>
  <si>
    <t>Art. 160(6) CRD/ National Law 4261/2014</t>
  </si>
  <si>
    <t>https://www.bankofgreece.gr/RelatedDocuments/LAW_4261_OF_2014.pdf</t>
  </si>
  <si>
    <t>HU.CCOB.498</t>
  </si>
  <si>
    <t>Hungary</t>
  </si>
  <si>
    <t>Magyar Nemzeti Bank</t>
  </si>
  <si>
    <t>IS.CCOB.500</t>
  </si>
  <si>
    <t>Iceland</t>
  </si>
  <si>
    <t>Financial Supervisory Authority of Iceland</t>
  </si>
  <si>
    <t>2016</t>
  </si>
  <si>
    <t>https://en.fme.is/supervision/financial-stability/capital-buffers/</t>
  </si>
  <si>
    <t>IE.CCOB.499</t>
  </si>
  <si>
    <t>Ireland</t>
  </si>
  <si>
    <t>Central Bank of Ireland</t>
  </si>
  <si>
    <t>IT.ECCO.71</t>
  </si>
  <si>
    <t>Italy</t>
  </si>
  <si>
    <t>Banca d'Italia</t>
  </si>
  <si>
    <t>Exemption of small and medium-sized investment firms from capital conservation buffer</t>
  </si>
  <si>
    <t>IT.CCOB.70</t>
  </si>
  <si>
    <t>IT.CCOB.393</t>
  </si>
  <si>
    <t>This decision amends the one made in 2013, when the CRD IV was transposed, to bring forward the application of the ‘fully loaded’ buffer (2.5 per cent of risk-weighted assets) on a consolidated basis for banking groups and individually for stand-alone banks.  Gradual phasing-in of the Capital Conservation Buffer in line with Art. 160(6) of the CRD IV, as follows: 1.250% from 1 January 2017 to 31 December 2017; 1.875% from 1 January 2018 to 31 December 2018; 2.5% from 1 January 2019.</t>
  </si>
  <si>
    <t>https://www.bancaditalia.it/compiti/stabilita-finanziaria/politica-macroprudenziale/applicazione-riserva-conserv-capitale/index.html?com.dotmarketing.htmlpage.language=1</t>
  </si>
  <si>
    <t>LV.CCOB.72</t>
  </si>
  <si>
    <t>Latvia</t>
  </si>
  <si>
    <t>Finanšu un kapitāla tirgus komisija (Financial and Capital Market Commission)</t>
  </si>
  <si>
    <t>LI.CCOB.453</t>
  </si>
  <si>
    <t>Liechtenstein</t>
  </si>
  <si>
    <t>Financial Market Authority (FMA)</t>
  </si>
  <si>
    <t>National law / Art. 160(6) CRD</t>
  </si>
  <si>
    <t>LT.CCOB.73</t>
  </si>
  <si>
    <t>Lithuania</t>
  </si>
  <si>
    <t>Lietuvos bankas</t>
  </si>
  <si>
    <t>LU.CCOB.75</t>
  </si>
  <si>
    <t>Luxembourg</t>
  </si>
  <si>
    <t>Commission de Surveillance du Secteur Financier</t>
  </si>
  <si>
    <t>https://www.cssf.lu/wp-content/uploads/files/Lois_reglements/Legislation/RG_CSSF/RCSSF_No14-01eng.pdf
https://www.cssf.lu/wp-content/uploads/L_050493_lfs.pdf</t>
  </si>
  <si>
    <t>LU.ECCO.74</t>
  </si>
  <si>
    <t>Exemption of small and medium-sized investment firms from CCOB</t>
  </si>
  <si>
    <t>http://www.bcl.lu/fr/stabilite_surveillance/CRS/CRS2015001.pdf
http://www.cssf.lu/fileadmin/files/Lois_reglements/Legislation/RG_CSSF/RCSSF_No15-05.pdf</t>
  </si>
  <si>
    <t>MT.CCOB.501</t>
  </si>
  <si>
    <t>Malta</t>
  </si>
  <si>
    <t>Malta Financial Services Authority</t>
  </si>
  <si>
    <t>https://www.mfsa.mt/wp-content/uploads/2022/01/BR15-Capital-Buffers-of-Credit-Institutions-Authorised-Under-The-Banking-Act-1994.pdf"</t>
  </si>
  <si>
    <t>MT.ECCO.76</t>
  </si>
  <si>
    <t>Exemption of small and medium-sized investment firms from the requirement to maintain a capital conservation buffer.</t>
  </si>
  <si>
    <t>NL.CCOB.502</t>
  </si>
  <si>
    <t>Netherlands</t>
  </si>
  <si>
    <t>De Nederlandsche Bank</t>
  </si>
  <si>
    <t>NO.CCOB.77</t>
  </si>
  <si>
    <t>Norway</t>
  </si>
  <si>
    <t>Finansdepartementet (Ministry of Finance)</t>
  </si>
  <si>
    <t>PL.ECCO.220</t>
  </si>
  <si>
    <t>Poland</t>
  </si>
  <si>
    <t>Komitet Stabilności Finansowej (Financial Stability Committee)</t>
  </si>
  <si>
    <t>Exemption of micro, small and medium-sized investment firms from the requirement to maintain a capital conservation buffer</t>
  </si>
  <si>
    <t>https://nbp.pl/en/financial-system/macroprudential-supervision/macroprudential-instruments/conservation-buffer/</t>
  </si>
  <si>
    <t>PL.CCOB.80</t>
  </si>
  <si>
    <t>Shorter transitional periods for capital conservation buffer according to Article 84 of the Act</t>
  </si>
  <si>
    <t>PT.CCOB.81</t>
  </si>
  <si>
    <t>Portugal</t>
  </si>
  <si>
    <t>Banco de Portugal</t>
  </si>
  <si>
    <t>https://www.bportugal.pt/en/page/capital-conservation-buffer</t>
  </si>
  <si>
    <t>PT.CCOB.247</t>
  </si>
  <si>
    <t>Implementation of the capital conservation buffer through the transitional period. Revoking the former requirement for an early implementation of the CCoB.</t>
  </si>
  <si>
    <t>RO.CCOB.221</t>
  </si>
  <si>
    <t>Romania</t>
  </si>
  <si>
    <t>Banca Naţională a României</t>
  </si>
  <si>
    <t>Recommendation of National Committee for Financial Stability to implement the capital conservation buffer in four equal steps of 0.625% per annum in period 2016-2019.</t>
  </si>
  <si>
    <t>SK.ECCO.83</t>
  </si>
  <si>
    <t>Slovakia</t>
  </si>
  <si>
    <t>Národná banka Slovenska</t>
  </si>
  <si>
    <t>SK.CCOB.84</t>
  </si>
  <si>
    <t>Early introduction of capital conservation buffer.</t>
  </si>
  <si>
    <t>SI.CCOB.508</t>
  </si>
  <si>
    <t>Slovenia</t>
  </si>
  <si>
    <t>Banka Slovenije</t>
  </si>
  <si>
    <t>ES.CCOB.504</t>
  </si>
  <si>
    <t>Spain</t>
  </si>
  <si>
    <t>Banco de España</t>
  </si>
  <si>
    <t>SE.CCOB.85</t>
  </si>
  <si>
    <t>Sweden</t>
  </si>
  <si>
    <t>Finansinspektionen</t>
  </si>
  <si>
    <t>UK.ECCO.87</t>
  </si>
  <si>
    <t>United Kingdom</t>
  </si>
  <si>
    <t>Financial Conduct Authority</t>
  </si>
  <si>
    <t>UK.CCOB.505</t>
  </si>
  <si>
    <t>Prudential Regulation Authority</t>
  </si>
  <si>
    <t>Countercyclical Capital Buffer</t>
  </si>
  <si>
    <t>The setting of countercyclical capital buffer rates is since early 2016 no longer included in this overview; decisions on these rates are now published on a dedicated page on the ESRB website:</t>
  </si>
  <si>
    <t>https://www.esrb.europa.eu/national_policy/ccb/applicable/html/index.en.html</t>
  </si>
  <si>
    <t>Global Systemically Important Institution Buffer</t>
  </si>
  <si>
    <t>Year initiative</t>
  </si>
  <si>
    <t>Number of systemically important institutions</t>
  </si>
  <si>
    <t>Basis in Union law</t>
  </si>
  <si>
    <t>FI.GSII.512</t>
  </si>
  <si>
    <t>Misaligned incentives</t>
  </si>
  <si>
    <t>Setting of a fully phased in G-SII buffer for Nordea Group.</t>
  </si>
  <si>
    <t>Art. 131 CRD</t>
  </si>
  <si>
    <t>True</t>
  </si>
  <si>
    <t>2018-12-20 00:00:00</t>
  </si>
  <si>
    <t>Nordea will not become a G-Sll on 1.1.2020, since the bank's score remains below the threshold applied and the FIN-FSA is not aware of any grounds to derogate from the recommendation made by the FSB. The new decision replaces the previous decision from 29 June 2018.</t>
  </si>
  <si>
    <t>FR.GSII.1432</t>
  </si>
  <si>
    <t>Autorité de Contrȏle Prudentiel et de Résolution</t>
  </si>
  <si>
    <t>2023</t>
  </si>
  <si>
    <t>Autorité de Contrôle Prudentiel et de Résolution (ACPR) identified four G-SIIs and set their respective buffers.</t>
  </si>
  <si>
    <t>https://acpr.banque-france.fr/controler/controle-prudentiel-bancaire/assujettis-au-controle-bancaire/entites-systemiques-du-secteur-bancaire</t>
  </si>
  <si>
    <t>FR.GSII.1247</t>
  </si>
  <si>
    <t>2022</t>
  </si>
  <si>
    <t>Identification of BNP Paribas, Société Générale, Groupe BPCE and Groupe Crédit Agricole as G-SIIs.</t>
  </si>
  <si>
    <t>https://acpr.banque-france.fr/sites/default/files/media/2022/12/02/20221129_liste_eism_2022_au_titre_2021.pdf</t>
  </si>
  <si>
    <t>FR.GSII.1052</t>
  </si>
  <si>
    <t>2021</t>
  </si>
  <si>
    <t>Autorité de Contrȏle Prudentiel et de Résolution identified four GSIIs and their corresponding buffer rates.</t>
  </si>
  <si>
    <t>https://acpr.banque-france.fr/sites/default/files/media/2021/12/01/20211201_liste_eism_2021_au_titre_2020.pdf</t>
  </si>
  <si>
    <t>FR.GSII.873</t>
  </si>
  <si>
    <t>2020</t>
  </si>
  <si>
    <t>Identification of four global systemically important institutions and definition of their G-SII buffer rate.</t>
  </si>
  <si>
    <t>https://acpr.banque-france.fr/sites/default/files/media/2020/11/12/liste_eism_2020_au_titre_2019.pdf</t>
  </si>
  <si>
    <t>FR.GSII.763</t>
  </si>
  <si>
    <t>2019</t>
  </si>
  <si>
    <t>Identification of four G-SIIs.</t>
  </si>
  <si>
    <t>https://acpr.banque-france.fr/sites/default/files/media/2019/11/22/liste_eism_2019_au_titre_2018.pdf</t>
  </si>
  <si>
    <t>FR.GSII.564</t>
  </si>
  <si>
    <t>Identification of BNP Paribas, Société Générale, Crédit Agricole, Group BPCE as GSIIs.</t>
  </si>
  <si>
    <t>https://acpr.banque-france.fr/sites/default/files/media/2018/11/20/liste_eism_2018_au_titre_de_2017.pdf</t>
  </si>
  <si>
    <t>FR.GSII.420</t>
  </si>
  <si>
    <t>Identification of three G-SIIs.</t>
  </si>
  <si>
    <t>https://acpr.banque-france.fr/sites/default/files/liste_eism_2017_au_titre_de_2016_0.pdf</t>
  </si>
  <si>
    <t>FR.GSII.319</t>
  </si>
  <si>
    <t>https://acpr.banque-france.fr/sites/default/files/media/2019/11/22/liste_eism_2016_au_titre_de_2015.pdf</t>
  </si>
  <si>
    <t>FR.GSII.35</t>
  </si>
  <si>
    <t>Identification of BNP Paribas, Société Générale, Groupe BPCE and Groupe Crédit Agricole as G-SIIs for 2014.</t>
  </si>
  <si>
    <t>Art. 7 Regulation No. 1222/2014 of 8 October 2014</t>
  </si>
  <si>
    <t>https://acpr.banque-france.fr/sites/default/files/media/2017/08/16/20151215-liste-des-etablissements-d-importance-systemique-mondiale.pdf</t>
  </si>
  <si>
    <t>FR.GSII.1660</t>
  </si>
  <si>
    <t>2024</t>
  </si>
  <si>
    <t>DE.GSII.37</t>
  </si>
  <si>
    <t>Identification of  Deutsche Bank as G-SII, subcategory 3 for 2014.</t>
  </si>
  <si>
    <t>DE.GSII.36</t>
  </si>
  <si>
    <t>Identification of  Deutsche Bank as G-SII.</t>
  </si>
  <si>
    <t>DE.GSII.314</t>
  </si>
  <si>
    <t>Identification of Deutsche Bank as G-SII.</t>
  </si>
  <si>
    <t>DE.GSII.438</t>
  </si>
  <si>
    <t>DE.GSII.596</t>
  </si>
  <si>
    <t>DE.GSII.780</t>
  </si>
  <si>
    <t>DE.GSII.864</t>
  </si>
  <si>
    <t>Identification of Deutsche Bank AG as a Global Systemically Important Institution (G-SII) for 2022.</t>
  </si>
  <si>
    <t>https://www.bafin.de/EN/Aufsicht/BankenFinanzdienstleister/Eigenmittelanforderungen/GSRI/gsri_node_en.html;jsessionid=85E66E935614F03FE17C2D6193AC7037.2_cid393</t>
  </si>
  <si>
    <t>DE.GSII.1640</t>
  </si>
  <si>
    <t>Federal Financial Supervisory Authority (Bundesanstalt für Finanzdienstleistungsausicht – BaFin) set the G-SII level for Deutsche Bank AG with no changes from the precedent one.</t>
  </si>
  <si>
    <t>DE.GSII.1487</t>
  </si>
  <si>
    <t>DE.GSII.1251</t>
  </si>
  <si>
    <t>DE.GSII.1055</t>
  </si>
  <si>
    <t>Bundesanstalt für Finanzdienstleistungsaufsicht identified a GSII and its corresponding buffer rate.</t>
  </si>
  <si>
    <t>https://www.bafin.de/EN/Aufsicht/BankenFinanzdienstleister/Eigenmittelanforderungen/GSRI/gsri_node_en.html</t>
  </si>
  <si>
    <t>IT.GSII.39</t>
  </si>
  <si>
    <t>Identification of Unicredit banking group as G-SII.</t>
  </si>
  <si>
    <t>https://www.bancaditalia.it/compiti/stabilita-finanziaria/politica-macroprudenziale/documenti/en-UCG-050315.pdf?language_id=1</t>
  </si>
  <si>
    <t>IT.GSII.863</t>
  </si>
  <si>
    <t>Identification of UniCredit Group as a Global Systemically Important Institution (G-SII) for 2022 in Italy.</t>
  </si>
  <si>
    <t>https://www.bancaditalia.it/compiti/stabilita-finanziaria/politica-macroprudenziale/unicredit-20201204/Comunicato-web-G-SII-EN.pdf?language_id=1</t>
  </si>
  <si>
    <t>IT.GSII.1066</t>
  </si>
  <si>
    <t>Banca d'Italia identified one GSII and its corresponding buffer rate</t>
  </si>
  <si>
    <t>IT.GSII.1248</t>
  </si>
  <si>
    <t>Banca d'Italia has identified one G-SII and set the appropriate buffer rate.</t>
  </si>
  <si>
    <t>2024-01-01 00:00:00</t>
  </si>
  <si>
    <t>In 2023 Unicredit has not been identified as G-SII. Since the G-SII buffer is immediatelly releasable, the measure is no more active.</t>
  </si>
  <si>
    <t>https://www.bancaditalia.it/compiti/stabilita-finanziaria/politica-macroprudenziale/2023.12.01-gsii/index.html?com.dotmarketing.htmlpage.language=1</t>
  </si>
  <si>
    <t>IT.GSII.761</t>
  </si>
  <si>
    <t>Identification of UniCredit banking group as a G-SII.</t>
  </si>
  <si>
    <t>https://www.bancaditalia.it/compiti/stabilita-finanziaria/politica-macroprudenziale/unicredit-20191213/index.html</t>
  </si>
  <si>
    <t>IT.GSII.568</t>
  </si>
  <si>
    <t>https://www.bancaditalia.it/compiti/stabilita-finanziaria/politica-macroprudenziale/identif-unicredit-2018/Comunicato-web-G-SII-EN.pdf?language_id=1</t>
  </si>
  <si>
    <t>IT.GSII.432</t>
  </si>
  <si>
    <t>https://www.bancaditalia.it/compiti/stabilita-finanziaria/politica-macroprudenziale/identif-unicredit-2017/index.html</t>
  </si>
  <si>
    <t>IT.GSII.316</t>
  </si>
  <si>
    <t>http://www.bancaditalia.it/compiti/stabilita-finanziaria/politica-macroprudenziale/identificazione-unicredit-2016/index.html</t>
  </si>
  <si>
    <t>IT.GSII.38</t>
  </si>
  <si>
    <t>Identification of Unicredit banking group as a G-SII.</t>
  </si>
  <si>
    <t>http://www.bancaditalia.it/compiti/stabilita-finanziaria/politica-macroprudenziale/documenti/en_GSII_2016_Comunicato.pdf?language_id=1</t>
  </si>
  <si>
    <t>NL.GSII.861</t>
  </si>
  <si>
    <t>Identification of ING Bank N.V. as a Globally Systemically Important Institution (G-SII).</t>
  </si>
  <si>
    <t>https://www.toezicht.dnb.nl/en/2/51-234727.jsp</t>
  </si>
  <si>
    <t>NL.GSII.764</t>
  </si>
  <si>
    <t>Identification of ING N.V. as G-SII.</t>
  </si>
  <si>
    <t>NL.GSII.608</t>
  </si>
  <si>
    <t>Identification of ING Bank N.V. as a G-SII.</t>
  </si>
  <si>
    <t>NL.GSII.440</t>
  </si>
  <si>
    <t>ING Bank N.V. receives a score of 159 base points. Therefore, ING Bank N.V. is allocated to subcategory 1.</t>
  </si>
  <si>
    <t>NL.GSII.41</t>
  </si>
  <si>
    <t>ING Bank N.V. receives a score of 132 base points. Therefore, ING Bank N.V. is allocated to subcategory 1.</t>
  </si>
  <si>
    <t>NL.GSII.40</t>
  </si>
  <si>
    <t>Identification of ING as G-SII. ING Bank N.V. receives a score of 144 base points, which leads to allocation of ING Bank N.V. in subcategory 1.</t>
  </si>
  <si>
    <t>NL.GSII.1488</t>
  </si>
  <si>
    <t>De Nederlandsche Bank has identified one institution (ING) as G-SII and has set the respective G-SII buffer rate.</t>
  </si>
  <si>
    <t>NL.GSII.1255</t>
  </si>
  <si>
    <t>De Nederlandsche Bank has identified one institution as G-SII and has set the respective G-SII buffer rate.</t>
  </si>
  <si>
    <t>NL.GSII.1087</t>
  </si>
  <si>
    <t>ES.GSII.42</t>
  </si>
  <si>
    <t>Designation of Santander and BBVA as G-SIIs in 2016.</t>
  </si>
  <si>
    <t>https://www.bde.es/f/webbde/GAP/Secciones/SalaPrensa/NotasInformativas/15/Arc/Fic/presbe2015_57en.pdf</t>
  </si>
  <si>
    <t>ES.GSII.1649</t>
  </si>
  <si>
    <t>Designation of Santander as G-SII in 2026.</t>
  </si>
  <si>
    <t>https://www.bde.es/wbe/en/areas-actuacion/politica-macroprudencial/herramientas-macroprudenciales/entidades-importancia-sistemica/</t>
  </si>
  <si>
    <t>ES.GSII.1428</t>
  </si>
  <si>
    <t>Designation of Santander as G-SII in 2025.</t>
  </si>
  <si>
    <t>https://www.bde.es/f/webbe/GAP/Secciones/SalaPrensa/NotasInformativas/23/presbe2023-103en.pdf</t>
  </si>
  <si>
    <t>ES.GSII.1273</t>
  </si>
  <si>
    <t>Designation of Santander as G-SII in 2024.</t>
  </si>
  <si>
    <t>https://www.bde.es/f/webbde/GAP/Secciones/SalaPrensa/NotasInformativas/22/presbe2022_108en.pdf</t>
  </si>
  <si>
    <t>ES.GSII.1065</t>
  </si>
  <si>
    <t>Designation of Santander as G-SII in 2023.</t>
  </si>
  <si>
    <t>https://www.bde.es/f/webbde/GAP/Secciones/SalaPrensa/NotasInformativas/21/presbe2021_101en.pdf</t>
  </si>
  <si>
    <t>ES.GSII.917</t>
  </si>
  <si>
    <t>Designation of Santander as G-SII in 2017.</t>
  </si>
  <si>
    <t>https://www.bde.es/f/webbde/GAP/Secciones/SalaPrensa/ComunicadosBCE/NotasInformativasBCE/16/Arc/Fic/presbe2016_50en.pdf</t>
  </si>
  <si>
    <t>ES.GSII.844</t>
  </si>
  <si>
    <t>Designation of Santander as G-SII in 2022.</t>
  </si>
  <si>
    <t>https://www.bde.es/f/webbde/GAP/Secciones/SalaPrensa/NotasInformativas/20/presbe2020_94en.pdf</t>
  </si>
  <si>
    <t>ES.GSII.729</t>
  </si>
  <si>
    <t>Designation of Santander as G-SII in 2021.</t>
  </si>
  <si>
    <t>https://www.bde.es/f/webbde/GAP/Secciones/SalaPrensa/NotasInformativas/19/presbe2019_73en.pdf</t>
  </si>
  <si>
    <t>ES.GSII.315</t>
  </si>
  <si>
    <t>Designation of Santander as G-SII in 2018.</t>
  </si>
  <si>
    <t>http://www.bde.es/f/webbde/GAP/Secciones/SalaPrensa/NotasInformativas/16/Arc/Fic/presbe2016_58en.pdf</t>
  </si>
  <si>
    <t>ES.GSII.399</t>
  </si>
  <si>
    <t>Designation of Santander as G-SII in 2019.</t>
  </si>
  <si>
    <t>https://www.bde.es/f/webbde/GAP/Secciones/SalaPrensa/NotasInformativas/17/presbe2017_62en.pdf</t>
  </si>
  <si>
    <t>ES.GSII.549</t>
  </si>
  <si>
    <t>Designation of Santander as G-SII in 2020.</t>
  </si>
  <si>
    <t>https://www.bde.es/f/webbde/GAP/Secciones/SalaPrensa/NotasInformativas/18/presbe2018_63en.pdf</t>
  </si>
  <si>
    <t>SE.GSII.43</t>
  </si>
  <si>
    <t>Identification of Nordea as G-SII (bucket 1, 1% when fully phased-in buffer). The buffer is phased-in with yearly increments of 0.25% until reaching 1% on 1 January 2019.</t>
  </si>
  <si>
    <t>http://www.fi.se/sv/publicerat/nyheter/2015/nordea-globalt-systemviktigt-foretag/</t>
  </si>
  <si>
    <t>SE.GSII.434</t>
  </si>
  <si>
    <t>http://www.fi.se/sv/publicerat/nyheter/2015/nordea-globalt-systemviktigt-foretag/
http://www.fsb.org/2017/11/2017-list-of-global-systemically-important-banks-gsibs/</t>
  </si>
  <si>
    <t>UK.GSII.44</t>
  </si>
  <si>
    <t>Identification of HSBC, Barclays, Royal Bank of Scotland and Standard Chartered as G-SIIs for 2014.</t>
  </si>
  <si>
    <t>http://www.fsb.org/wp-content/uploads/r_141106b.pdf   ///      http://www.bankofengland.co.uk/pra/Pages/crdiv/2015updates.aspx</t>
  </si>
  <si>
    <t>UK.GSII.883</t>
  </si>
  <si>
    <t>Identification of three global systemically important institutions (G-SIIs) in the UK for 2022 and definition of their G-SII buffer rate.</t>
  </si>
  <si>
    <t>https://www.bankofengland.co.uk/prudential-regulation/key-initiatives/capital-requirements-directive-iv</t>
  </si>
  <si>
    <t>UK.GSII.45</t>
  </si>
  <si>
    <t>Identification of HSBC, Barclays, Royal Bank of Scotland and Standard Chartered as G-SIIs for 2015.</t>
  </si>
  <si>
    <t>http://www.bankofengland.co.uk/pra/Pages/crdiv/2015updates.aspx</t>
  </si>
  <si>
    <t>UK.GSII.320</t>
  </si>
  <si>
    <t>http://www.bankofengland.co.uk/pra/Pages/crdiv/updates.aspx</t>
  </si>
  <si>
    <t>UK.GSII.428</t>
  </si>
  <si>
    <t>UK.GSII.557</t>
  </si>
  <si>
    <t>UK.GSII.737</t>
  </si>
  <si>
    <t>Other Systemically Important Institution Buffer</t>
  </si>
  <si>
    <t>AT.OSII.1685</t>
  </si>
  <si>
    <t>The Finanzmarktaufsicht in Austria identified seven O-SIIs and set their respective buffers (on consolidated level).</t>
  </si>
  <si>
    <t>AT.OSII.1671</t>
  </si>
  <si>
    <t>The Finanzmarktaufsicht in Austria identified eight O-SIIs and set their respective buffers (on individual level).</t>
  </si>
  <si>
    <t>AT.OSII.1426</t>
  </si>
  <si>
    <t>AT.OSII.1427</t>
  </si>
  <si>
    <t>AT.OSII.1269</t>
  </si>
  <si>
    <t>The Austrian Financial Market authority has identified seven O-SIIs on a consolidated level and set the respective buffer rates</t>
  </si>
  <si>
    <t>AT.OSII.1270</t>
  </si>
  <si>
    <t>The Austrian Financial Market authority has identified seven O-SIIs on an individual basis level and set the respective buffer rates</t>
  </si>
  <si>
    <t>AT.OSII.1084</t>
  </si>
  <si>
    <t>The Austrian Financial Market Authority has identfied 9 institutions as O-SIIs and has set the respective O-SII buffer rates.</t>
  </si>
  <si>
    <t>AT.OSII.930</t>
  </si>
  <si>
    <t>Identification of nine other systemically important important institutions (O-SIIs) and applicable buffer rates.</t>
  </si>
  <si>
    <t>AT.OSII.857</t>
  </si>
  <si>
    <t>Identification of nine Other Systemically Important Institutions (O-SIIs).</t>
  </si>
  <si>
    <t>https://www.fma.gv.at/en/banks/macroprudential-supervision/details-about-identified-institutions/</t>
  </si>
  <si>
    <t>AT.OSII.765</t>
  </si>
  <si>
    <t>Identification of nine O-SIIs.
As a result of the currently prescribed capital buffer for global systemically important institutions (G-SIIs) for UniCredit S.p.A. of 1%, the O-SII buf fer level to be observed by UniCredit Bank Austria AG is limited to 1%. A higher capital buffer (one of a maximum of 2%) shall only apply for UniCredit Bank Austria AG, in the event that such a buf f er is consistent with the approach taken by the designated authority for UniCredit S.p.A. (Banca d’Italia).</t>
  </si>
  <si>
    <t>AT.OSII.595</t>
  </si>
  <si>
    <t>Identification of nine O-SIIs.</t>
  </si>
  <si>
    <t>AT.OSII.424</t>
  </si>
  <si>
    <t>Identification of six O-SIIs.</t>
  </si>
  <si>
    <t>AT.OSII.324</t>
  </si>
  <si>
    <t>Identification of seven O-SIIs.</t>
  </si>
  <si>
    <t>AT.OSII.1</t>
  </si>
  <si>
    <t>Identification of seven O-SIIs with corresponding buffer rates.</t>
  </si>
  <si>
    <t>BE.OSII.1262</t>
  </si>
  <si>
    <t>The Central Bank of Belgium has identified 8 O-SIIs and set their respective buffer rates.</t>
  </si>
  <si>
    <t>BE.OSII.1051</t>
  </si>
  <si>
    <t>Banque Nationale de Belgique identified eight OSIIs and set the corresponding buffer rates.</t>
  </si>
  <si>
    <t>https://www.nbb.be/en/financial-oversight/macroprudential-supervision/macroprudential-instruments/other-systemically</t>
  </si>
  <si>
    <t>BE.OSII.850</t>
  </si>
  <si>
    <t>Identification of eight other systemically important institutions (O-SIIs) and definition of their O-SII buffer rates.</t>
  </si>
  <si>
    <t>https://www.nbb.be/doc/cp/eng/2020/2020_disclosure_o_siis_en.pdf</t>
  </si>
  <si>
    <t>BE.OSII.758</t>
  </si>
  <si>
    <t>Identification of eight institutions.</t>
  </si>
  <si>
    <t>https://www.nbb.be/en/articles/annual-list-systematically-important-institutions-belgium-0</t>
  </si>
  <si>
    <t>BE.OSII.567</t>
  </si>
  <si>
    <t>Identification of eight O-SIIs.</t>
  </si>
  <si>
    <t>BE.OSII.422</t>
  </si>
  <si>
    <t>BE.OSII.357</t>
  </si>
  <si>
    <t>BE.OSII.1595</t>
  </si>
  <si>
    <t>The national bank of Belgium has identified eight OSIIs and set the corresponding buffer rates</t>
  </si>
  <si>
    <t>BE.OSII.2</t>
  </si>
  <si>
    <t>Identification of 8 O-SIIs and their corresponding O-SII buffer rates. There are 2 O-SII buffer rates (1.5% and 0.75%) and these rates will be phased in over 3 years, starting from 1 January 2016 onwards.</t>
  </si>
  <si>
    <t>BE.OSII.1435</t>
  </si>
  <si>
    <t>https://www.nbb.be/en/articles/eight-belgian-banks-redesignated-systemically-important-institutions-0</t>
  </si>
  <si>
    <t>BG.OSII.1050</t>
  </si>
  <si>
    <t>Bulgarian National Bank identified eight OSIIs and set the corresponding buffer rates.</t>
  </si>
  <si>
    <t>https://www.bnb.bg/BankSupervision/BSCapitalBuffers/BSCBPressReleases/PR_20211129_OSII_EN</t>
  </si>
  <si>
    <t>BG.OSII.849</t>
  </si>
  <si>
    <t>Identification of eight other systemically important institutions (O-SIIs) and definition of their O-SII buffer rate.</t>
  </si>
  <si>
    <t>https://www.bnb.bg/BankSupervision/BSCapitalBuffers/BSCBPressReleases/PR_20201130_EN</t>
  </si>
  <si>
    <t>BG.OSII.725</t>
  </si>
  <si>
    <t>https://www.bnb.bg/BankSupervision/BSCapitalBuffers/BSCBPressReleases/PR_20191115_EN</t>
  </si>
  <si>
    <t>BG.OSII.534</t>
  </si>
  <si>
    <t>Identification of ten O-SIIs.</t>
  </si>
  <si>
    <t>https://www.bnb.bg/BankSupervision/BSCapitalBuffers/BSCBPressReleases/PR_20181105_EN</t>
  </si>
  <si>
    <t>BG.OSII.415</t>
  </si>
  <si>
    <t>Identification of eleven O-SIIs.</t>
  </si>
  <si>
    <t>https://www.bnb.bg/BankSupervision/BSCapitalBuffers/BSCBPressReleases/PR_20171201_EN</t>
  </si>
  <si>
    <t>BG.OSII.317</t>
  </si>
  <si>
    <t>https://www.bnb.bg/BankSupervision/BSCapitalBuffers/BSCBPressReleases/PR_20161212_EN</t>
  </si>
  <si>
    <t>BG.OSII.1675</t>
  </si>
  <si>
    <t>Bulgarian National Bank identified six OSIIs and set the corresponding buffer rates.</t>
  </si>
  <si>
    <t>https://www.bnb.bg/BankSupervision/BSCapitalBuffers/BSCBOtherSystemicallyImportantInstitutions/index.htm?toLang=_EN</t>
  </si>
  <si>
    <t>BG.OSII.1448</t>
  </si>
  <si>
    <t>The Bulgarian National Bank has identified 6 OSIIs and set their respective buffers.</t>
  </si>
  <si>
    <t>BG.OSII.1225</t>
  </si>
  <si>
    <t>HR.OSII.1687</t>
  </si>
  <si>
    <t>HNB identified 7 O-SII and set their respective buffer rates</t>
  </si>
  <si>
    <t>https://www.hnb.hr/en/core-functions/financial-stability/cnb-s-macroprudential-policy/systemically-important-institutions</t>
  </si>
  <si>
    <t>HR.OSII.332</t>
  </si>
  <si>
    <t>http://www.hnb.hr/documents/20182/735490/tf-s-sjo-spo-pdf-e-info-vazne-ki-29-12-2016.pdf/bac6c873-a959-4ff1-834e-2bd6f34380ca</t>
  </si>
  <si>
    <t>HR.OSII.449</t>
  </si>
  <si>
    <t>https://www.hnb.hr/documents/20182/2293349/e-priopcenje-preispitivanje-sistemski-vaznih-ki-u-RH_22-2-2018.pdf/cb8b76ed-6aef-4a4d-aac0-defa83565ccd</t>
  </si>
  <si>
    <t>HR.OSII.1468</t>
  </si>
  <si>
    <t>Hrvatska narodna banka (HNB) identified 7 OSIIs and set their respective buffers</t>
  </si>
  <si>
    <t>HR.OSII.1252</t>
  </si>
  <si>
    <t>Hrvatska narodna banka (HNB) set the O-SII level of seven banks.</t>
  </si>
  <si>
    <t>https://www.hnb.hr/documents/20182/3689402/e-priopcenje-preispitivanje-sistemski-vaznih-ki-u-RH_29-11-2022.pdf/2d1bbed9-992b-6740-7570-dfe25074693a?t=1669708507790</t>
  </si>
  <si>
    <t>HR.OSII.1088</t>
  </si>
  <si>
    <t>Hrvatska narodna banka (HNB) has identified 7 O-SIIs and has set the respective O-SII buffers.</t>
  </si>
  <si>
    <t>https://www.hnb.hr/documents/20182/3689402/e-priopcenje-preispitivanje-sistemski-vaznih-ki-u-RH_13-01-2022.pdf/ebd87c81-7efd-523a-90ec-5667324b0809?t=1642145273270</t>
  </si>
  <si>
    <t>HR.OSII.852</t>
  </si>
  <si>
    <t>Identification of seven other systemically important institutions (O-SIIs) and definition of their O-SII buffer rates.</t>
  </si>
  <si>
    <t>https://www.hnb.hr/documents/20182/2293886/e-priopcenje-preispitivanje-sistemski-vaznih-ki-u-RH_10-12-2020.pdf/f2e333d4-23f6-495a-e2e2-49abf62a1b11?t=1607595348701</t>
  </si>
  <si>
    <t>HR.OSII.741</t>
  </si>
  <si>
    <t>https://www.hnb.hr/documents/20182/2293886/e-priopcenje-preispitivanje-sistemski-vaznih-ki-u-RH_31-12-2019.pdf/7ba5cb94-7db5-d42b-06ad-d407fdb8dbdc?t=1578386207507</t>
  </si>
  <si>
    <t>HR.OSII.597</t>
  </si>
  <si>
    <t>https://www.hnb.hr/documents/20182/2293886/e-priopcenje-preispitivanje-sistemski-vaznih-ki-u-RH_8-1-2019.pdf/47efcf7e-aef2-46f9-ae6a-86091248c320</t>
  </si>
  <si>
    <t>HR.OSII.3</t>
  </si>
  <si>
    <t>Identification of nine O-SIIs with corresponding buffer rates.</t>
  </si>
  <si>
    <t>https://www.hnb.hr/documents/20182/2293886/tf-s-sjo-spo-pdf-e-info-vazne-ki-26-02-2016.pdf/f2ac7fb5-35ce-4cc6-accf-cfde29f7e312</t>
  </si>
  <si>
    <t>CY.OSII.836</t>
  </si>
  <si>
    <t>Identification of five investment firms as O-SIIs and corresponding buffer rates.</t>
  </si>
  <si>
    <t>2021-12-23 00:00:00</t>
  </si>
  <si>
    <t>In accordance with the CBC's reassessment, no Cyprus Investment Firm meets the conditions required to be subject to the prudential framework included in the Directive of the EU on capital requirements (Directive 2013/36/EU - CRD) and in the Regulation of the EU on capital requirements (Regulation 575/2013 - CRR). As such, no Cyprus Investment Firm could meet the definition of O-SII intitutions.</t>
  </si>
  <si>
    <t>https://www.centralbank.cy/en/financial-stability/macroprudential-policy-decisions/o-sii-capital-buffer-for-other-systemically-important-institutions-investment-firms</t>
  </si>
  <si>
    <t>CY.OSII.804</t>
  </si>
  <si>
    <t>In order to alleviate O-SII credit institutions from the adverse financial impact of COVID-19, the existing phasing-in period is adjusted, so that the third and fourth (last) phases are delayed by 12 months each.</t>
  </si>
  <si>
    <t>CY.OSII.717</t>
  </si>
  <si>
    <t>Identification of six credit institutions as O-SIIs and corresponding buffer rates.</t>
  </si>
  <si>
    <t>https://www.centralbank.cy/en/financial-stability/macroprudential-policy-decisions/o-sii-capital-buffer-for-other-systemically-important-institutions-credit-institutions</t>
  </si>
  <si>
    <t>CY.OSII.532</t>
  </si>
  <si>
    <t>Identification of five credit institutions as O-SIIs and corresponding buffer rates.</t>
  </si>
  <si>
    <t>CY.OSII.1525</t>
  </si>
  <si>
    <t>The Central Bank of Cyprus identified 5 O-SIIs and set their respective buffers.</t>
  </si>
  <si>
    <t>CY.OSII.376</t>
  </si>
  <si>
    <t>2018-09-25 00:00:00</t>
  </si>
  <si>
    <t>The measure has been replaced before the date of application.</t>
  </si>
  <si>
    <t>CY.OSII.306</t>
  </si>
  <si>
    <t>Identification of six credit insitutions O-SIIs and corresponding buffer rates.</t>
  </si>
  <si>
    <t>http://www.centralbank.gov.cy/nqcontent.cfm?a_id=15672&amp;lang=en</t>
  </si>
  <si>
    <t>CY.OSII.1245</t>
  </si>
  <si>
    <t>The Central Bank of Cyprus has identified 6 O-SIIs</t>
  </si>
  <si>
    <t>CY.OSII.1056</t>
  </si>
  <si>
    <t>Central Bank of Cyprus identified six OSIIs and their corresponding buffer rates.</t>
  </si>
  <si>
    <t>CY.OSII.1469</t>
  </si>
  <si>
    <t>The Central Bank of Cyprus has identified 5 OSIIs and set their respective buffers.</t>
  </si>
  <si>
    <t>CY.OSII.373</t>
  </si>
  <si>
    <t>Identification of four investment firms as O-SIIs and corresponding buffer rates.</t>
  </si>
  <si>
    <t>CY.OSII.602</t>
  </si>
  <si>
    <t>CY.OSII.4</t>
  </si>
  <si>
    <t>Identification of six investment firms as O-SIIs with corresponding buffer rates.</t>
  </si>
  <si>
    <t>http://www.centralbank.gov.cy/nqcontent.cfm?a_id=15136&amp;lang=en</t>
  </si>
  <si>
    <t>CY.OSII.5</t>
  </si>
  <si>
    <t>Identification of six O-SIIs and corresponding buffer rates.</t>
  </si>
  <si>
    <t>CZ.OSII.1637</t>
  </si>
  <si>
    <t>Identification of seven O-SIIs. In accordance with Article 9 of the EBA Guidelines, the CNB also kept the threshold for designating relevant entities to 425 basis points. Entities identified as O-SIIs are considered as such since 1. 1. 2025, only those with new O-SII rates need to meet the capital requirement by 1. July 2025. For the remaining entities, it is business as usual.</t>
  </si>
  <si>
    <t>CZ.OSII.1470</t>
  </si>
  <si>
    <t>Česká národní banka identified 6 OSIIs and set their respective buffers</t>
  </si>
  <si>
    <t>https://www.cnb.cz/en/financial-stability/macroprudential-policy/list-of-other-systemically-important-institutions/</t>
  </si>
  <si>
    <t>CZ.OSII.1221</t>
  </si>
  <si>
    <t>Identification of O-SII institutions. The number of other systemically important institutions (O-SIIs) in the Czech Republic is increased from five to six. PPF Financial Holdings a.s. is included from the list of O-SIIs as of 1 January 2023.</t>
  </si>
  <si>
    <t>CZ.OSII.1024</t>
  </si>
  <si>
    <t>Czech National Bank has designated five O-SIIs institutions on the basis of their highest consolidated levels.</t>
  </si>
  <si>
    <t>CZ.OSII.926</t>
  </si>
  <si>
    <t>Identification of O-SII institutions. The number of other systemically important institutions (O-SIIs) in the Czech Republic is reduced from six to five. PPF Financial Holdings a.s. is excluded from the list of O-SIIs as of 28 June 2021.</t>
  </si>
  <si>
    <t>CZ.OSII.866</t>
  </si>
  <si>
    <t>Identification of six Other Systemically Important Institution (O-SIIs).</t>
  </si>
  <si>
    <t>CZ.OSII.740</t>
  </si>
  <si>
    <t>Identification of six O-SIIs. No buffer is applied. However, an institution-specific systemic risk buffer applies.</t>
  </si>
  <si>
    <t>CZ.OSII.579</t>
  </si>
  <si>
    <t>Identification of seven O-SIIs. No buffer is applied. However, an institution-specific systemic risk buffer applies.</t>
  </si>
  <si>
    <t>http://www.cnb.cz/cs/financni_stabilita/makroobezretnostni_politika/seznam_jinych_vyznamnych_instituci/index.html</t>
  </si>
  <si>
    <t>CZ.OSII.405</t>
  </si>
  <si>
    <t>Identification of seven O-SIIs. No buffer is applied.</t>
  </si>
  <si>
    <t>CZ.OSII.307</t>
  </si>
  <si>
    <t>Identification of seven O-SIIs. In accordance with Article 9 of the EBA Guidelines, the CNB also raised the threshold for designating relevant entities to 425 basis points so as to ensure the homogeneity of the group of O-SIIs designated in this way. Furthermore, in accordance with Article 13 of the EBA Guidelines, the CNB assessed whether further relevant institutions should be designated as O-SIIs.</t>
  </si>
  <si>
    <t>http://www.cnb.cz/en/financial_stability/macroprudential_policy/list_other_systemically_important_institutions/index.html</t>
  </si>
  <si>
    <t>CZ.OSII.6</t>
  </si>
  <si>
    <t>Identification of seven O-SIIs. In accordance with Article 9 of the EBA Guidelines, the CNB also raised the threshold for designating relevant entities to 425 basis points so as to ensure the homogeneity of the group of O-SIIs designated in this way.</t>
  </si>
  <si>
    <t>DK.OSII.345</t>
  </si>
  <si>
    <t>Finanstilsynet</t>
  </si>
  <si>
    <t>Identification of six individual O-SIIs. Denmark applies a SRB on the identified O-SIIs.</t>
  </si>
  <si>
    <t>DK.OSII.386</t>
  </si>
  <si>
    <t>http://em.dk/nyheder/2017/10-02-sifibufferkrav-2018</t>
  </si>
  <si>
    <t>DK.OSII.526</t>
  </si>
  <si>
    <t>DK.OSII.1566</t>
  </si>
  <si>
    <t>Resetting of O-SII buffers for nine credit institutions.</t>
  </si>
  <si>
    <t>DK.OSII.698</t>
  </si>
  <si>
    <t>Identification of seven individual O-SIIs. Denmark applies a SRB on the identified O-SIIs.</t>
  </si>
  <si>
    <t>DK.OSII.7</t>
  </si>
  <si>
    <t>Identification of 5 sub-categories of O-SIIs and 6 individual O-SIIs. Denmark applies an SRB on the identified O-SIIs.</t>
  </si>
  <si>
    <t>DK.OSII.1356</t>
  </si>
  <si>
    <t>Denmark decided to keep unchanged the level of the O-SII buffers. Saxo Bank A/S is designated as O-SII for the first time this year as their overall score of systemic importance has been higher than the threshold for designation for two consecutive  years.</t>
  </si>
  <si>
    <t>DK.OSII.819</t>
  </si>
  <si>
    <t>DK.OSII.913</t>
  </si>
  <si>
    <t>Identification of seven O-SII and their related buffer rates. In light of CRD V, Denmark authory is replacing SyRB buffer with an O-SII buffer. No institutions are currently subject to a systemic risk buffer.</t>
  </si>
  <si>
    <t>DK.OSII.922</t>
  </si>
  <si>
    <t>Identification of eight O-SIIs institutions in Denmark. O-SIIs rates applies at the highest possible level of consolidation.</t>
  </si>
  <si>
    <t>https://www.finanstilsynet.dk/Nyheder-og-Presse/Pressemeddelelser/2021/Sifi_250621</t>
  </si>
  <si>
    <t>DK.OSII.1139</t>
  </si>
  <si>
    <t>Finanstilsynet identified eight O-SII institutions in Denmark and has set the respective O-SII buffer rates. O-SII buffers remain unchanged.</t>
  </si>
  <si>
    <t>https://em.dk/nyhedsarkiv/2021/december/sifi-bufferkrav-for-2022/
https://www.finanstilsynet.dk/Nyheder-og-Presse/Pressemeddelelser/2022/SIFI_240622</t>
  </si>
  <si>
    <t>DK.OSII.266</t>
  </si>
  <si>
    <t>2016 identification of 6 individual O-SIIs. Denmark applies an SRB on the identified O-SIIs.</t>
  </si>
  <si>
    <t>http://www.finanstilsynet.dk/da/Nyheder%20og%20presse/Pressemeddelelser/2016/PM-Aarlig-udpegning-af-SIFI-institutter</t>
  </si>
  <si>
    <t>EE.OSII.9</t>
  </si>
  <si>
    <t>Identification of two O-SIIs, buffer rate was expected to be set in the first half of 2016.</t>
  </si>
  <si>
    <t>Art. 131(5) CRD</t>
  </si>
  <si>
    <t>EE.OSII.1636</t>
  </si>
  <si>
    <t>Identification of six O-SIIs and corresponding O-SII buffer rates</t>
  </si>
  <si>
    <t>EE.OSII.8</t>
  </si>
  <si>
    <t>Determination of buffer rates for two O-SIIs.</t>
  </si>
  <si>
    <t>http://www.eestipank.ee/en/financial-stability/systemically-important-credit-institutions</t>
  </si>
  <si>
    <t>EE.OSII.1458</t>
  </si>
  <si>
    <t>Eesti Pank identified 4 OSIIs and set their respective buffers</t>
  </si>
  <si>
    <t>https://www.eestipank.ee/en/financial-stability/macroprudential-policy-tools</t>
  </si>
  <si>
    <t>EE.OSII.305</t>
  </si>
  <si>
    <t>Buffer rate confirmed unchanged.</t>
  </si>
  <si>
    <t>EE.OSII.418</t>
  </si>
  <si>
    <t>Determination of buffer rates for three O-SIIs.</t>
  </si>
  <si>
    <t>https://www.riigiteataja.ee/akt/105122017014</t>
  </si>
  <si>
    <t>EE.OSII.482</t>
  </si>
  <si>
    <t>Determination of buffer rates for four O-SIIs.</t>
  </si>
  <si>
    <t>EE.OSII.744</t>
  </si>
  <si>
    <t>EE.OSII.842</t>
  </si>
  <si>
    <t>Identification of four other systemically important institutions (O-SIIs) and definition of their O-SII buffer rates.</t>
  </si>
  <si>
    <t>https://www.eestipank.ee/sites/eestipank.ee/files/files/Finantsstabiilsus/en/o-sii_hindamine_2020_eng.pdf</t>
  </si>
  <si>
    <t>EE.OSII.1042</t>
  </si>
  <si>
    <t>The Eesti Pank proceeded to identify four OSIIs and set the corresponding OSII buffers.</t>
  </si>
  <si>
    <t>https://www.eestipank.ee/en/financial-stability/systemically-important-credit-institutions</t>
  </si>
  <si>
    <t>EE.OSII.1218</t>
  </si>
  <si>
    <t>FI.OSII.361</t>
  </si>
  <si>
    <t>Identification of four O-SIIs. No formal decision regarding O-SII buffers have been made in 2016. Buffers were reviewed by FIN-FSA staff in June 2016.</t>
  </si>
  <si>
    <t>FI.OSII.435</t>
  </si>
  <si>
    <t>Identification of four O-SIIs and the setting of corresponding buffer rates without a phase-in period.</t>
  </si>
  <si>
    <t>http://www.finanssivalvonta.fi/en/Publications/Press_releases/Pages/22_2017.aspx</t>
  </si>
  <si>
    <t>FI.OSII.511</t>
  </si>
  <si>
    <t>Identification of three O-SIIs and the setting of corresponding buffer rates without a phase-in period.</t>
  </si>
  <si>
    <t>FI.OSII.693</t>
  </si>
  <si>
    <t>Finnish Financial Supervisory Authority FIN-FSA</t>
  </si>
  <si>
    <t>Reassessment and confirmation of the identification of 3 OSIIs and their respective buffer rate (between 0.5% and 2%) without a phase-in period.</t>
  </si>
  <si>
    <t>https://www.finanssivalvonta.fi/en/publications-and-press-releases/Press-release/2019/macroprudential-decision-credit-institutions-systemic-risk-buffers-unchanged/</t>
  </si>
  <si>
    <t>FI.OSII.788</t>
  </si>
  <si>
    <t>Partial release of the O-SII buffer due to COVID-19 for one financial institution.</t>
  </si>
  <si>
    <t>https://www.finanssivalvonta.fi/en/publications-and-press-releases/Press-release/2020/credit-institutions-additional-capital-requirements-to-ease-in-accordance-with-fin-fsa-boards-preliminary-decision/
https://www.finanssivalvonta.fi/en/publications-and-press-releases/Press-release/2020/macroprudential-decision-fin-fsa-board-lowers-credit-institutions-capital-requirements/</t>
  </si>
  <si>
    <t>FI.OSII.929</t>
  </si>
  <si>
    <t>The FIN-FSA Board has reviewed the O-SII buffers and is expected not to change them. The O-SII buffers applicable to Nordea, OP Group and Municipality Finland are 2.0 %, 1.0 % and 0.5 %, respectively</t>
  </si>
  <si>
    <t>FI.OSII.1134</t>
  </si>
  <si>
    <t>The Finnish Financial Supervisory Authority (FIN-FSA) has identified 3 institutions as O-SIIs and set the respective buffer rates.</t>
  </si>
  <si>
    <t>https://www.finanssivalvonta.fi/en/financial-market-stability/macroprudential/macroprudential-decisions-and-appendices/macroprudential-decisions-2022/</t>
  </si>
  <si>
    <t>FI.OSII.10</t>
  </si>
  <si>
    <t>Identification of four O-SIIs and the corresponding buffer rates.</t>
  </si>
  <si>
    <t>http://www.finanssivalvonta.fi/en/Publications/Press_releases/pages/12_2015.aspx</t>
  </si>
  <si>
    <t>FI.OSII.1370</t>
  </si>
  <si>
    <t>The Finnish Financial Supervisory Authority FIN-FSA has identified three O-SIIs and left their respective buffer rates unchanged.</t>
  </si>
  <si>
    <t>https://www.finanssivalvonta.fi/en/financial-market-stability/macroprudential/macroprudential-decisions-and-appendices/macroprudential-decisions-2023/macroprudential-decision-28-june-2023/</t>
  </si>
  <si>
    <t>FI.OSII.1584</t>
  </si>
  <si>
    <t>FR.OSII.1661</t>
  </si>
  <si>
    <t>Autorité de Contrôle Prudentiel et de Résolution (ACPR) identified seven O-SIIs and set their respective buffers.</t>
  </si>
  <si>
    <t>https://acpr.banque-france.fr/en/prudential-supervision/banking-supervision/systemic-entities-banking-sector</t>
  </si>
  <si>
    <t>FR.OSII.11</t>
  </si>
  <si>
    <t>Identification of six O-SIIs and corresponding O-SII buffer rates.</t>
  </si>
  <si>
    <t>https://acpr.banque-france.fr/sites/default/files/media/2017/08/14/20151229_liste_aeis.pdf</t>
  </si>
  <si>
    <t>FR.OSII.1433</t>
  </si>
  <si>
    <t>https://acpr.banque-france.fr/en/supervision/banking-supervision/systemic-entities-banking-sector</t>
  </si>
  <si>
    <t>FR.OSII.1224</t>
  </si>
  <si>
    <t>https://acpr.banque-france.fr/sites/default/files/media/2022/12/02/20221129_liste_aeis_2022_au_titre_2021.pdf</t>
  </si>
  <si>
    <t>FR.OSII.1049</t>
  </si>
  <si>
    <t>Autorité de Contrȏle Prudentiel et de Résolution proceeded to identify seven OSIIs and the corresponding buffer rates.</t>
  </si>
  <si>
    <t>https://acpr.banque-france.fr/sites/default/files/media/2021/12/01/20211201_liste_aeis_2021_au_titre_2020.pdf</t>
  </si>
  <si>
    <t>FR.OSII.875</t>
  </si>
  <si>
    <t>https://acpr.banque-france.fr/sites/default/files/media/2020/11/12/liste_aeis_2020_au_titre_2019.pdf</t>
  </si>
  <si>
    <t>FR.OSII.762</t>
  </si>
  <si>
    <t>Identification of six O-SIIs</t>
  </si>
  <si>
    <t>https://acpr.banque-france.fr/sites/default/files/media/2019/11/22/liste_aeis_2019_au_titre_2018.pdf</t>
  </si>
  <si>
    <t>FR.OSII.563</t>
  </si>
  <si>
    <t>https://acpr.banque-france.fr/sites/default/files/media/2018/11/20/20181119_liste_aeis.pdf</t>
  </si>
  <si>
    <t>FR.OSII.419</t>
  </si>
  <si>
    <t>https://acpr.banque-france.fr/sites/default/files/20171201_liste_aeis_0.pdf</t>
  </si>
  <si>
    <t>FR.OSII.321</t>
  </si>
  <si>
    <t>https://acpr.banque-france.fr/sites/default/files/media/2017/08/11/20161213_liste_aeis.pdf</t>
  </si>
  <si>
    <t>DE.OSII.1634</t>
  </si>
  <si>
    <t>Identification of 14 O-SIIs and corresponding buffer rates.</t>
  </si>
  <si>
    <t>DE.OSII.1486</t>
  </si>
  <si>
    <t>BaFin has identified 15 OSIIs and set their respective buffers</t>
  </si>
  <si>
    <t>DE.OSII.12</t>
  </si>
  <si>
    <t>Identification of 16 O-SIIs (2 pending as per July 2016) and corresponding buffer rates.</t>
  </si>
  <si>
    <t>http://www.bafin.de/DE/DatenDokumente/Datenbanken/ASRI/anderweitig_systemrelevante_Institute.html</t>
  </si>
  <si>
    <t>DE.OSII.1054</t>
  </si>
  <si>
    <t>Bundesanstalt für Finanzdienstleistungsaufsicht identified fourteen OSIIs and their corresponding buffer rates.</t>
  </si>
  <si>
    <t>https://www.bafin.de/EN/Aufsicht/BankenFinanzdienstleister/Eigenmittelanforderungen/ASRI/asri_node_en.html</t>
  </si>
  <si>
    <t>DE.OSII.1250</t>
  </si>
  <si>
    <t>Federal Financial Supervisory Authority (Bundesanstalt für Finanzdienstleistungsaufsicht - BaFin)  set the O-SII levels for 16 banks.</t>
  </si>
  <si>
    <t>DE.OSII.858</t>
  </si>
  <si>
    <t>Identification of thirteen other systemically important institutions (O-SIIs) and definition of their O-SII buffer rate.</t>
  </si>
  <si>
    <t>DE.OSII.757</t>
  </si>
  <si>
    <t>Identification of twelve institutions.</t>
  </si>
  <si>
    <t>https://www.bafin.de/EN/Aufsicht/BankenFinanzdienstleister/Eigenmittelanforderungen/ASRI/asri_artikel_en.html</t>
  </si>
  <si>
    <t>DE.OSII.594</t>
  </si>
  <si>
    <t>Identification of 13 O-SIIs.</t>
  </si>
  <si>
    <t>https://www.bafin.de/EN/PublikationenDaten/Datenbanken/ASRI/asri_node.html</t>
  </si>
  <si>
    <t>DE.OSII.439</t>
  </si>
  <si>
    <t>DE.OSII.353</t>
  </si>
  <si>
    <t>Identification of 14 O-SIIs, of which one institution is identified as G-SII.</t>
  </si>
  <si>
    <t>GR.OSII.1597</t>
  </si>
  <si>
    <t>The list of the institutions concerned is the same as that of the previous year. And the O-SII rates are reviewed annually. The buffer is applied on a consolidated basis.</t>
  </si>
  <si>
    <t>GR.OSII.13</t>
  </si>
  <si>
    <t>Identification of four O-SIIs and corresponding buffer rates. Institutions with a score equal or higher than 350 basis points were designated as an O-SII.</t>
  </si>
  <si>
    <t>GR.OSII.1438</t>
  </si>
  <si>
    <t>Bank of Greece has identified four OSIIs and set their respective buffers</t>
  </si>
  <si>
    <t>GR.OSII.1200</t>
  </si>
  <si>
    <t>The Bank of Greece notified us of the resetting of an O-SII buffer under Article 131(7) CRD. New OSII-buffers for the OSII's are all 1%.</t>
  </si>
  <si>
    <t>GR.OSII.1085</t>
  </si>
  <si>
    <t>The bank of Greece has identified 4 institutions as O-SIIs and has set the respective O-SII buffer rates.</t>
  </si>
  <si>
    <t>GR.OSII.901</t>
  </si>
  <si>
    <t>GR.OSII.743</t>
  </si>
  <si>
    <t>Identification of four O-SIIs and corresponding buffer rates.</t>
  </si>
  <si>
    <t>GR.OSII.559</t>
  </si>
  <si>
    <t>GR.OSII.465</t>
  </si>
  <si>
    <t>GR.OSII.407</t>
  </si>
  <si>
    <t>HU.OSII.14</t>
  </si>
  <si>
    <t>Identification of nine O-SIIs and corresponding O-SII buffer rates. The list of O-SIIs and their differentiated O-SIIB rates are published on the MNB's website.</t>
  </si>
  <si>
    <t>http://www.mnb.hu/letoltes/az-egyeb-rendszerszinten-jelentos-intezmenyek-azonositasa-2015-en-honlap.pdf</t>
  </si>
  <si>
    <t>HU.OSII.1639</t>
  </si>
  <si>
    <t>Identification of seven O-SIIs and corresponding O-SII buffer rates.</t>
  </si>
  <si>
    <t>HU.OSII.1466</t>
  </si>
  <si>
    <t>Magyar Nemzeti Bank identified 7 institutions and set their respective buffers.</t>
  </si>
  <si>
    <t>HU.OSII.1223</t>
  </si>
  <si>
    <t>Identification of seven O-SIIs and corresponding OSII buffer rates. On 2022 April 29 the Magyar Bankholding Zrt., identified as an O-SII in 2021 ceased to operate as a financial holding company, and at the same time MKB Bank Nyrt. took over as the parent of the financial group.</t>
  </si>
  <si>
    <t>HU.OSII.1058</t>
  </si>
  <si>
    <t>"Magyar Nemzeti Bank identified seven OSIIs and their corresponding buffer rates. The phasing-in of buffers starts from 1 January 2022, with starting buffer rates equaling one-quarter of the expected final rates. Update of 02/05/2022: From 2022 April 29 the Magyar Bankholding Zrt. identified as an O-SII in 2021 is going to cease operating as a financial holding company and it will no
longer be under the statutory scope of the CRD. At the same time MKB Bank Nyrt. is going to take over as the parent of the financial group"</t>
  </si>
  <si>
    <t>https://www.mnb.hu/en/pressroom/press-releases/press-releases-2021/mnb-ensures-long-term-stable-operation-by-rebuilding-capital-buffers-of-systemically-important-banks</t>
  </si>
  <si>
    <t>HU.OSII.851</t>
  </si>
  <si>
    <t>https://www.mnb.hu/en/pressroom/press-releases/press-releases-2020/the-mnb-has-reaffirmed-the-list-of-systemically-important-financial-institutions-and-the-release-of-their-capital-buffers-for-2021-to-support-lending</t>
  </si>
  <si>
    <t>HU.OSII.794</t>
  </si>
  <si>
    <t>Full release of O-SII buffer due to COVID-19, phasing in of previous buffers from 01/01/2022.</t>
  </si>
  <si>
    <t>https://www.mnb.hu/en/pressroom/press-releases/press-releases-2020/mnb-supports-lending-activity-of-banking-system-by-releasing-capital-buffer-requirements-for-systemically-important-banks</t>
  </si>
  <si>
    <t>HU.OSII.750</t>
  </si>
  <si>
    <t>https://www.mnb.hu/en/pressroom/press-releases/press-releases-2019/based-on-the-decision-of-the-mnb-the-phase-in-of-the-capital-buffers-ensuring-the-stability-of-systemically-important-banks-will-be-completed-by-2020</t>
  </si>
  <si>
    <t>HU.OSII.533</t>
  </si>
  <si>
    <t>Identification of eight O-SIIs and corresponding O-SII buffer rates.</t>
  </si>
  <si>
    <t>http://www.mnb.hu/en/pressroom/press-releases/press-releases-2018/the-mnb-further-strengthens-the-stability-of-systemically-important-institutions-with-gradually-increasing-capital-buffers</t>
  </si>
  <si>
    <t>HU.OSII.427</t>
  </si>
  <si>
    <t>HU.OSII.299</t>
  </si>
  <si>
    <t>First annual review of the group of O-SIIs. Identification of eight O-SIIs and corresponding O-SII buffer rates. The O-SII buffer rates will be phased in over 4 years in a gradually increasing manner starting from 1 January 2017 onwards.</t>
  </si>
  <si>
    <t>http://www.mnb.hu/letoltes/az-egyeb-rendszerszinten-jelentos-intezmenyek-azonositasa-2016-en-honlap.pdf</t>
  </si>
  <si>
    <t>IS.OSII.982</t>
  </si>
  <si>
    <t>Central Bank of Iceland</t>
  </si>
  <si>
    <t>Identification of three O-SIIs and their related rates.</t>
  </si>
  <si>
    <t>https://www.cb.is/financial-stability/macroprudential-policy/capital-buffers/</t>
  </si>
  <si>
    <t>IS.OSII.810</t>
  </si>
  <si>
    <t>Identification of three O-SIIs.</t>
  </si>
  <si>
    <t>IS.OSII.643</t>
  </si>
  <si>
    <t>IS.OSII.486</t>
  </si>
  <si>
    <t>IS.OSII.362</t>
  </si>
  <si>
    <t>https://en.fme.is/published-material/news--announcements/news/notification-on%20an%20on-going-capital-buffer</t>
  </si>
  <si>
    <t>IS.OSII.1666</t>
  </si>
  <si>
    <t>The Central Bank of Iceland has identified three O-SIIs and set their respective buffer rates.</t>
  </si>
  <si>
    <t>https://www.cb.is/financial-stability/macroprudential-policy/capital-buffers/.</t>
  </si>
  <si>
    <t>IS.OSII.1462</t>
  </si>
  <si>
    <t>IS.OSII.1249</t>
  </si>
  <si>
    <t>IE.OSII.846</t>
  </si>
  <si>
    <t>Identification of six Other Systemically Important Institutions (O-SIIs). The O-SII buffer for one institution increased.</t>
  </si>
  <si>
    <t>https://www.centralbank.ie/docs/default-source/publications/financial-stability-review/financial-stability/financial-stability-review-2020-ii.pdf#page=97</t>
  </si>
  <si>
    <t>IE.OSII.1635</t>
  </si>
  <si>
    <t>IE.OSII.1454</t>
  </si>
  <si>
    <t>IIdentification of six O-SIIs and setting of corresponding O-SII buffer rates. Removal of one institution and identification of one new institution, for which the buffer rate will become effective on 1 Jan 2025. The buffer for the 5 remaining ones is already applying since 01.01.2022.</t>
  </si>
  <si>
    <t>https://www.centralbank.ie/publication/financial-stability-review/financial-stability-review-2023-ii</t>
  </si>
  <si>
    <t>IE.OSII.1246</t>
  </si>
  <si>
    <t>The Central Bank of Ireland identified 6 OSII's and their corresponding buffer rates.</t>
  </si>
  <si>
    <t>https://www.centralbank.ie/macro-prudential-policies-for-bank-capital/other-systemically-important-institutions-buffer</t>
  </si>
  <si>
    <t>IE.OSII.1044</t>
  </si>
  <si>
    <t>The Central Bank of Ireland proceeded to identify six OSIIs and the corresponding buffers.</t>
  </si>
  <si>
    <t>https://www.centralbank.ie/docs/default-source/publications/financial-stability-review/financial-stability/financial-stability-review-2021-ii.pdf#page=79</t>
  </si>
  <si>
    <t>IE.OSII.739</t>
  </si>
  <si>
    <t>Identification of six O-SIIs and setting of corresponding O-SII buffer rates. Removal of two institutions and identification of two new institutions with respect to end-2018 data.</t>
  </si>
  <si>
    <t>https://centralbank.ie/docs/default-source/publications/financial-stability-review/financial-stability-review-2019-i/financial-stability-review-2019-ii.pdf#page=91</t>
  </si>
  <si>
    <t>IE.OSII.425</t>
  </si>
  <si>
    <t>https://www.centralbank.ie/docs/default-source/financial-system/financial-stability/macroprudential-policy/other-systemically-important-institutions/o-sii-announcement-november-2017.pdf?sfvrsn=4</t>
  </si>
  <si>
    <t>IE.OSII.308</t>
  </si>
  <si>
    <t>https://www.centralbank.ie/docs/default-source/financial-system/financial-stability/macroprudential-policy/other-systemically-important-institutions/2016-review-of-the-o-sii-framework.pdf?sfvrsn=6</t>
  </si>
  <si>
    <t>IE.OSII.543</t>
  </si>
  <si>
    <t>Identification of six O-SIIs and setting of corresponding O-SII buffer rates. One has a 0% buffer.</t>
  </si>
  <si>
    <t>https://www.centralbank.ie/docs/default-source/financial-system/financial-stability/macroprudential-policy/other-systemically-important-institutions/o-sii-announcement-november-2018.pdf?sfvrsn=6</t>
  </si>
  <si>
    <t>IE.OSII.15</t>
  </si>
  <si>
    <t>Identification of two O-SIIs and corresponding O-SII buffer rates.</t>
  </si>
  <si>
    <t>https://www.centralbank.ie/docs/default-source/financial-system/financial-stability/macroprudential-policy/other-systemically-important-institutions/gns-2-1-1-3-o-sii-ann-dec-2015.pdf?sfvrsn=4</t>
  </si>
  <si>
    <t>IT.OSII.16</t>
  </si>
  <si>
    <t>Identification of three O-SIIs (UniCredit, Intesa Sanpaolo, Monte dei Paschi di Siena) and corresponding O-SII buffer rates. The threshold of 350 basis points has been used to identify O-SIIs.</t>
  </si>
  <si>
    <t>http://www.bancaditalia.it/compiti/stabilita-finanziaria/politica-macroprudenziale/documenti/OSII_2016_comunicato_en.pdf?language_id=1</t>
  </si>
  <si>
    <t>IT.OSII.1633</t>
  </si>
  <si>
    <t>Identification of seven O-SIIs and corresponding O-SII buffer rates. The threshold of 300 basis points has been used to identify O-SIIs.</t>
  </si>
  <si>
    <t>IT.OSII.1456</t>
  </si>
  <si>
    <t>Banca d'Italia identified 7 OSIIs and set their respective buffers</t>
  </si>
  <si>
    <t>https://www.bancaditalia.it/compiti/stabilita-finanziaria/politica-macroprudenziale/o-sii-20231121/index.html</t>
  </si>
  <si>
    <t>IT.OSII.1238</t>
  </si>
  <si>
    <t>Banca d'Italia has decided to maintain the 350 basis opoint threshold defined by the EBA guidelines. The identification took place at the highest level of consolidation in Italy. Four institutions have been identified as O-SIIs (Unicredit Group (UCG), Gruppo Intesa Sanpaolo (ISP), Gruppo Banco BPM (BBPM), Gruppo Monte dei Paschi di Siena (MPS)).</t>
  </si>
  <si>
    <t>IT.OSII.331</t>
  </si>
  <si>
    <t>http://www.bancaditalia.it/compiti/stabilita-finanziaria/politica-macroprudenziale/identificazione-gruppi-bancari/index.html?com.dotmarketing.htmlpage.language=1</t>
  </si>
  <si>
    <t>IT.OSII.417</t>
  </si>
  <si>
    <t>Identification of four O-SIIs (UniCredit, Intesa Sanpaolo, Gruppo Banco BPM, Monte dei Paschi di Siena) and corresponding O-SII buffer rates. The threshold of 350 basis points has been used to identify O-SIIs. Gruppo Banco BPM is a new addition, with the fully phased-in buffer applying from  1 January 2022.</t>
  </si>
  <si>
    <t>http://www.bancaditalia.it/compiti/stabilita-finanziaria/politica-macroprudenziale/identificaz-gruppi-bancari-2017/index.html?com.dotmarketing.htmlpage.language=1</t>
  </si>
  <si>
    <t>IT.OSII.561</t>
  </si>
  <si>
    <t>Identification of three O-SIIs in Italy (UniCredit, Intesa Sanpaolo, Gruppo Banco BPM) and their respective O-SII buffer rates. Monte dei Paschi di Siena no longer is identified as an O-SII and will not be required to hold any O-SII buffer starting from 01/01/2019.</t>
  </si>
  <si>
    <t>http://www.bancaditalia.it/compiti/stabilita-finanziaria/politica-macroprudenziale/identificaz-gruppi-bancari-2018/index.html</t>
  </si>
  <si>
    <t>IT.OSII.1047</t>
  </si>
  <si>
    <t>Banca d’Italia has identified four O-SII and set respective O-SII buffer rates.</t>
  </si>
  <si>
    <t>IT.OSII.848</t>
  </si>
  <si>
    <t>Identification of four Other Systemically Important Institutions (O-SIIs).</t>
  </si>
  <si>
    <t>https://www.bancaditalia.it/compiti/stabilita-finanziaria/politica-macroprudenziale/com-ist-sist-20201130/index.html</t>
  </si>
  <si>
    <t>IT.OSII.746</t>
  </si>
  <si>
    <t>Identification of four O-SIIs.</t>
  </si>
  <si>
    <t>https://www.bancaditalia.it/compiti/stabilita-finanziaria/politica-macroprudenziale/comunicato-gruppi-ril-sist/index.html?com.dotmarketing.htmlpage.language=1</t>
  </si>
  <si>
    <t>LV.OSII.879</t>
  </si>
  <si>
    <t>LV.OSII.1069</t>
  </si>
  <si>
    <t>Identification of five other systemically important institutions (O-SIIs) and definition of their O-SII buffer rates.</t>
  </si>
  <si>
    <t>LV.OSII.402</t>
  </si>
  <si>
    <t>Identification of six O-SIIs. Luminor Bank AS, which started its operations on 01 October 201 7 is a new institution created as the result of the merger between AS DNB banka (previously identified as an O-SII in 201 6) and Nordea Bank AB Latvian business. Update: Following the merger of Luminor Baltic entities into the Luminor Bank in Estonia (effective as of 02/01/2019), the Latvian entities ceased to exist. Consequently, the O-SII identification no longer applies to the Latvian branch of Luminor Bank AB.</t>
  </si>
  <si>
    <t>LV.OSII.565</t>
  </si>
  <si>
    <t>Identification of 5 O-SIIs. ABLV Bank AS is no longer identified as O-SII as its licence was withdrawn in July 2018. Update: Following the merger of Luminor Baltic entities into the Luminor Bank in Estonia (effective as of 02/01/2019), the Latvian entities ceased to exist. Consequently, the O-SII identification no longer applies to the Latvian branch of Luminor Bank AB.</t>
  </si>
  <si>
    <t>LV.OSII.1272</t>
  </si>
  <si>
    <t>Identification of five other systemically important institutions (O-SIIs) and definition of their O-SII buffer rates. Respective O-SII buffer is applicable on a consolidation basis with the exception of Swedbank Baltics AS for which the rate is maintained also on an individual and sub-consolidated basis (Swedbank AS).</t>
  </si>
  <si>
    <t>LV.OSII.330</t>
  </si>
  <si>
    <t>The O-SII buffer requirement applied to the identified O-SIIs is to be met by CET1 capital instruments and shall be maintained at the highest consolidation level in Latvia.</t>
  </si>
  <si>
    <t>LV.OSII.1424</t>
  </si>
  <si>
    <t>Latvijas Banka</t>
  </si>
  <si>
    <t>Latvijas Banka identified 5 O-SII and set their respective buffers. All O-SII buffers are applicable on a consolidation basis with the exception of Swedbank Baltics AS for which the rate is maintained also on an individual and sub-consolidated basis (Swedbank AS).</t>
  </si>
  <si>
    <t>https://www.bank.lv/en/operational-areas/financial-stability/macroprudential-measures-introduced-in-latvia/capital-buffer-for-other-systemically-important-institutions</t>
  </si>
  <si>
    <t>LV.OSII.745</t>
  </si>
  <si>
    <t>LV.OSII.1651</t>
  </si>
  <si>
    <t>Latvijas Banka identified the same 5 O-SIIs as in 2023 and set their respective buffers. Only two O-SIIs experience a small reduction in their buffer rates.</t>
  </si>
  <si>
    <t>LV.OSII.17</t>
  </si>
  <si>
    <t>LI.OSII.1367</t>
  </si>
  <si>
    <t>The Financial Market Authority (FMA) of Liechtenstein has identified three O-SIIs  at the consolidated and individual level and set their respective buffer rates.</t>
  </si>
  <si>
    <t>https://www.fma-li.li/en/supervision/financial-stability-and-macroprudential-supervision/macroprudential-instruments/capital-buffer-for-systemically-important-institutions.html</t>
  </si>
  <si>
    <t>LI.OSII.1119</t>
  </si>
  <si>
    <t>Financial Market Authority (FMA) set O-SII buffer rates for three identified O-SIIs at the consolidated and individual level.</t>
  </si>
  <si>
    <t>https://www.fma-li.li/files/fma/afms-2022-2-eng.pdf</t>
  </si>
  <si>
    <t>LI.OSII.1029</t>
  </si>
  <si>
    <t>The FMA identified three OSII institutions and corresponding O-SII buffer rates.</t>
  </si>
  <si>
    <t>https://www.fma-li.li/de/aufsicht/finanzstabilitat-und-makroprudenzielle-aufsicht/ausschuss-fur-finanzmarktstabilitat/risikohinweise-und-empfehlungen.html</t>
  </si>
  <si>
    <t>LI.OSII.817</t>
  </si>
  <si>
    <t>Identification of three O-SIIs and corresponding O-SII buffer rates.</t>
  </si>
  <si>
    <t>LI.OSII.756</t>
  </si>
  <si>
    <t>LI.OSII.575</t>
  </si>
  <si>
    <t>Identification of three O-SIIs. The O-SII buffer rate is set at 0% for all three institutions.</t>
  </si>
  <si>
    <t>https://www.fma-li.li/de/finanzintermediare/bereich-banken/banken-und-wertpapierfirmen/kapitalpuffer/andere-systemrelevante-institute-a-sri-puffer.html</t>
  </si>
  <si>
    <t>LI.OSII.1548</t>
  </si>
  <si>
    <t>Liechtenstein has identified the following three banks as O-SIIs: LGT Bank AG, Liechtensteinische Landesbank AG und VP Bank AG. The level of the O-SII buffer is set at 2% of total risk exposure both at the consolidated and individual level</t>
  </si>
  <si>
    <t>LI.OSII.436</t>
  </si>
  <si>
    <t>LT.OSII.18</t>
  </si>
  <si>
    <t>Identification of four O-SIIs and corresponding O-SII buffer rates.</t>
  </si>
  <si>
    <t>https://www.lb.lt/en/financial-stability-instruments-1#ex-1-3</t>
  </si>
  <si>
    <t>LT.OSII.1686</t>
  </si>
  <si>
    <t>LT.OSII.1684</t>
  </si>
  <si>
    <t>LT.OSII.1430</t>
  </si>
  <si>
    <t>Lietuvos bankas identified four O-SIIs and set their respective buffer rates.</t>
  </si>
  <si>
    <t>LT.OSII.1261</t>
  </si>
  <si>
    <t>Lithuania identified 4 OSII's and (re)set their buffers.</t>
  </si>
  <si>
    <t>LT.OSII.1057</t>
  </si>
  <si>
    <t>Lietuvos bankas identified three OSIIs and their buffer rates.</t>
  </si>
  <si>
    <t>LT.OSII.878</t>
  </si>
  <si>
    <t>Identification of three other systemically important institutions (O-SIIs) and definition of their O-SII buffer rate.</t>
  </si>
  <si>
    <t>https://www.lb.lt/uploads/documents/files/LBV_nutarimas_del_O-SII_nustatymo_2020_Q4_EN.pdf</t>
  </si>
  <si>
    <t>LT.OSII.805</t>
  </si>
  <si>
    <t>On 31 March 2020, the Board of the Bank of Lithuania took a decision to postpone the phase-in period of a higher O-SII buffer  for AB Šiaulių bankas that has been set on 27 November 2018 and confirmed on 26 November 2019.</t>
  </si>
  <si>
    <t>LT.OSII.753</t>
  </si>
  <si>
    <t>Identification of three institutions.</t>
  </si>
  <si>
    <t>LT.OSII.560</t>
  </si>
  <si>
    <t>Identification of four O-SIIs in Lithuania (AB SEB bankas, Luminor Bank AB, Swedbank AB and AB Šiaulių bankas) and their O-SII buffer rates. For AB Šiaulių bankas the fully phased in buffer rate increased from 0.5% to 1%. Update: Following the merger of Luminor Baltic entities into the Luminor Bank in Estonia (effective as of 02/01/2019), the Lithuanian entity ceased to exist. Consequently, the O-SII identification from 02/01/2019 no longer applies to the Lithuanian branch of Luminor Bank AB.</t>
  </si>
  <si>
    <t>LT.OSII.406</t>
  </si>
  <si>
    <t>LT.OSII.391</t>
  </si>
  <si>
    <t>LU.OSII.1421</t>
  </si>
  <si>
    <t>Identification of five O-SIIs and corresponding O-SII buffer rates.</t>
  </si>
  <si>
    <t>https://cdrs.lu/wp-content/uploads/2023/10/Avis-du-CdRS-du-06_10_2023-Designation-annuelle-et-reexamen-du-calibrage-du-coussin-pour-les-AEIS.pdf
https://legilux.public.lu/eli/etat/leg/rcsf/2023/11/30/a803/jo</t>
  </si>
  <si>
    <t>LU.OSII.1271</t>
  </si>
  <si>
    <t>https://cdrs.lu/wp-content/uploads/2022/10/Avis-du-CdRS-du-17_10_2022-relatif-a-la-designation-annuelle-et-au-reexamen-du-calibrage-du-coussin-pour-les-AEIS.pdf
https://legilux.public.lu/eli/etat/leg/rcsf/2022/11/30/a647/jo</t>
  </si>
  <si>
    <t>LU.OSII.1086</t>
  </si>
  <si>
    <t>Initial identification of seven Other Systemically Important Institutions (O-SIIs) in October 2021. This was was then revised to six O-SIIs in early 2022, when JP Morgan Bank Luxembourg S.A. became a branch of a foreign entity and therefore it is not anymore subject to an O-SII buffer.</t>
  </si>
  <si>
    <t>http://cdrs.lu/recommandations-avis-et-alertes/ 
https://www.cssf.lu/fr/Document/reglement-cssf-n-21-04-du-22-novembre-2021/</t>
  </si>
  <si>
    <t>LU.OSII.874</t>
  </si>
  <si>
    <t>Identification of seven Other Systemically Important Institutions (O-SIIs). It is to be noted that the O-SII buffer for Société Générale Luxembourg is lowered to 1.0% in application of article 59-9 (4) of the Law of 5 April 1993 on the financial sector, since the G-SII buffer of the parent company of Société Générale is set at 1% for 2021. A buffer of 2% would otherwise apply.</t>
  </si>
  <si>
    <t>http://cdrs.lu/wp-content/uploads/2020/10/CRS_2020_004_Avis-du-Comit%C3%A9-du-risque-syst%C3%A9mique-du-26-octobre-2020-O-SIIs.pdf
http://legilux.public.lu/eli/etat/leg/rcsf/2020/11/12/a931/jo#note_0_0_1</t>
  </si>
  <si>
    <t>LU.OSII.751</t>
  </si>
  <si>
    <t>Identification of eight institutions.
It is to be noted that the O-SII buffer for Société Générale Bank &amp; Trust is lowered to 1.0% in application of article 59-9 (4) of the Law of 5 April 1993 on the financial sector, since the G-SII buffer of the parent company of Société Générale is set at 1% for 2020. A buffer of 2% would otherwise apply.</t>
  </si>
  <si>
    <t>http://cdrs.lu/wp-content/uploads/2019/09/CRS-2019-007-Avis-du-Comité-du-risque-systémique-du-11-septembre-2019-O-SIIs.pdf
http://data.legilux.public.lu/file/eli-etat-leg-rcsf-2019-10-29-a802-jo-fr-pdf.pdf</t>
  </si>
  <si>
    <t>LU.OSII.546</t>
  </si>
  <si>
    <t>http://cdrs.lu/wp-content/uploads/2018/09/Avis-du-Comité-du-risque-systémique-du-18-septembre-2018-O-SIIs.pdf
http://data.legilux.public.lu/file/eli-etat-leg-rcsf-2018-11-19-a1084-jo-fr-pdf.pdf</t>
  </si>
  <si>
    <t>LU.OSII.19</t>
  </si>
  <si>
    <t>http://www.bcl.lu/fr/stabilite_surveillance/CRS/Avis-du-CRS_16_11_2015.pdf
https://www.cssf.lu/wp-content/uploads/RCSSF_No15-06eng.pdf</t>
  </si>
  <si>
    <t>LU.OSII.441</t>
  </si>
  <si>
    <t>http://www.bcl.lu/fr/stabilite_surveillance/CRS/Avis-CdRS-9-10-2017.pdf
https://www.cssf.lu/en/Document/cssf-regulation-n-17-04/</t>
  </si>
  <si>
    <t>LU.OSII.325</t>
  </si>
  <si>
    <t>Art. 131(5)CRD</t>
  </si>
  <si>
    <t>http://www.bcl.lu/fr/stabilite_surveillance/CRS/AVIS-.pdf
https://www.cssf.lu/wp-content/uploads/RCSSF_No16-08eng.pdf</t>
  </si>
  <si>
    <t>LU.OSII.1644</t>
  </si>
  <si>
    <t>Resetting of O-SII buffers for 5 banks. The list of identified O-SIIs and the buffer rates have not changed compared to last year</t>
  </si>
  <si>
    <t>https://cdrs.lu/wp-content/uploads/2024/10/Avis-CdRS-15_10_2024-Designation-annuelle-et-reexamen-du-calibrage-du-coussin-pour-les-AEIS.pdf
https://legilux.public.lu/eli/etat/leg/rcsf/2024/11/29/a486/jo</t>
  </si>
  <si>
    <t>MT.OSII.1460</t>
  </si>
  <si>
    <t>Central Bank of Malta and Malta Financial Services Authority</t>
  </si>
  <si>
    <t>The Central Bank of Malta and the Malta Financial Services Authority have identified four O-SIIs and set their respective buffer rates.</t>
  </si>
  <si>
    <t>https://www.centralbankmalta.org/systemically-important-institutions</t>
  </si>
  <si>
    <t>MT.OSII.1284</t>
  </si>
  <si>
    <t>The Central Bank of Malta (CBM) and the Malta Financial Services Authority (MFSA) have identified four O-SIIs and set their respective O-SII buffer rates.</t>
  </si>
  <si>
    <t>MT.OSII.1083</t>
  </si>
  <si>
    <t>The Central Bank of Malta (CBM) and the Malta Financial Services Authority (MFSA) have identified 4 institutions as O-SII and set the respective O-SII buffers.</t>
  </si>
  <si>
    <t>MT.OSII.898</t>
  </si>
  <si>
    <t>Identification of four other systemically important institutions (O-SIIs) and communication of their respective O-SII buffer rates, to be held at the highest level of consolidation in Malta</t>
  </si>
  <si>
    <t>MT.OSII.768</t>
  </si>
  <si>
    <t>MT.OSII.604</t>
  </si>
  <si>
    <t>MT.OSII.443</t>
  </si>
  <si>
    <t>MT.OSII.1697</t>
  </si>
  <si>
    <t>https://darwin.escb.eu/livelink/livelink/app/nodes/1831144493</t>
  </si>
  <si>
    <t>MT.OSII.349</t>
  </si>
  <si>
    <t>MT.OSII.20</t>
  </si>
  <si>
    <t>Identification of three O-SIIs and corresponding O-SII buffer rates. Identified O-SIIs will be required to hold an O-SII buffer at the highest level of consolidation in Malta.</t>
  </si>
  <si>
    <t>NL.OSII.1645</t>
  </si>
  <si>
    <t>Rijksoverheid (Dutch government)</t>
  </si>
  <si>
    <t>Resetting the O-SII buffer rates for the same five institutions at unchanged levels</t>
  </si>
  <si>
    <t>https://www.dnb.nl/en/sector-news/supervision-2024/dnb-maintains-buffers-for-systemically-important-banks/</t>
  </si>
  <si>
    <t>NL.OSII.22</t>
  </si>
  <si>
    <t>O-SII buffer of 2% on ING, Rabobank and ABN Amro. O-SII buffer of 1% on SNS Bank. Requirement on consolidated basis.</t>
  </si>
  <si>
    <t>NL.OSII.335</t>
  </si>
  <si>
    <t>Identification of five O-SIIs.</t>
  </si>
  <si>
    <t>NL.OSII.1337</t>
  </si>
  <si>
    <t>De Nederlandsche Bank changed the method used to determine the O-SII buffer. The Nederlandsche Bank still identified five O-SIIs but the buffer rates were modified.</t>
  </si>
  <si>
    <t>https://www.dnb.nl/media/svbdtnyu/ofs-may-2023.pdf</t>
  </si>
  <si>
    <t>NL.OSII.1244</t>
  </si>
  <si>
    <t>De Nederlandsche Bank has identified five O-SIIs.</t>
  </si>
  <si>
    <t>NL.OSII.1059</t>
  </si>
  <si>
    <t>De Nederlandsche Bank identified five OSIIs and their corresponding buffer rates.</t>
  </si>
  <si>
    <t>NL.OSII.870</t>
  </si>
  <si>
    <t>Identification of five Other Systemically Important Institutions (O-SIIs) and their rates.</t>
  </si>
  <si>
    <t>https://www.dnb.nl/en/sector-information/supervision-sectors/banks/prudential-supervision/factsheet/dnb-confirms-systemic-relevance-buffers/</t>
  </si>
  <si>
    <t>NL.OSII.790</t>
  </si>
  <si>
    <t>Partial release of O-SII buffer due to COVID-19 for one institution.</t>
  </si>
  <si>
    <t>https://www.toezicht.dnb.nl/en/2/51-236832.jsp</t>
  </si>
  <si>
    <t>NL.OSII.754</t>
  </si>
  <si>
    <t>Identification of five institutions.</t>
  </si>
  <si>
    <t>NL.OSII.581</t>
  </si>
  <si>
    <t>http://www.toezicht.dnb.nl/en/2/51-236832.jsp</t>
  </si>
  <si>
    <t>NL.OSII.414</t>
  </si>
  <si>
    <t>NL.OSII.21</t>
  </si>
  <si>
    <t>http://www.dnb.nl/en/news/news-and-archive/nieuws-2015/dnb335618.jsp</t>
  </si>
  <si>
    <t>NO.OSII.1405</t>
  </si>
  <si>
    <t>Sparebank 1 SR-Bank ASA (1%) has been added to the list of the Other Systemically Important Institutions of Norway, along with DNB ASA (2%), Kommunalbanken AS (1%) and Nordea Eiendomkreditt AS (1%). The assigned O-SII buffer rates are given in parentesis. For Sparebank 1 SR-Bank ASA the O-SII buffer rate will come into effect as of 30 September 2024.</t>
  </si>
  <si>
    <t>Videreføring av bankenes kapitalbufferkrav - regjeringen.no</t>
  </si>
  <si>
    <t>NO.OSII.1691</t>
  </si>
  <si>
    <t>DNB Bank ASA (2%), Kommunalbanken AS (1%), Nordea Eiendomskreditt AS (1%) and Sparebank 1 Sør-Norge ASA (previously Sparebank 1 SR-Bank ASA) (1%) shall still be identified as systemically important institutions in Norway. The assigned O-SII buffer rates are given in parentesis.</t>
  </si>
  <si>
    <t>NO.OSII.1301</t>
  </si>
  <si>
    <t>Identification of three O-SII and setting their respective buffer rates.</t>
  </si>
  <si>
    <t>https://www.regjeringen.no/no/aktuelt/beslutning-om-systemviktige-finansforetak/id2952653/</t>
  </si>
  <si>
    <t>NO.OSII.474</t>
  </si>
  <si>
    <t>DNB ASA and Kommunalbanken AS continue to be designated as systemically important financial institutions. Removal of Nordea Bank Norge ASA is due to its conversion to a branch of the Swedish Nordea Bank AB as of 1 January 2017. Norway applies and SRB  on the identified O-SIIs</t>
  </si>
  <si>
    <t>https://www.regjeringen.no/no/dokumenter/vedtak-om-systemviktig-finansforetak/id2582894/?q=Vedtak om systemviktig      
https://www.regjeringen.no/no/dokumenter/vedtak-om-systemviktig-finansforetak2/id2582895/</t>
  </si>
  <si>
    <t>NO.OSII.473</t>
  </si>
  <si>
    <t>Identification of the same three O-SIIs. Norway applies an additional SRB  on the identified O-SIIs</t>
  </si>
  <si>
    <t>https://www.regjeringen.no/no/aktuelt/beslutning-om-systemviktige-finansinstitusjoner/id2505343/</t>
  </si>
  <si>
    <t>NO.OSII.494</t>
  </si>
  <si>
    <t>Identification of two O-SIIs. Norway applies a SyRB  on the identified O-SIIs.</t>
  </si>
  <si>
    <t>https://www.regjeringen.no/no/aktuelt/beslutning-om-systemviktige-finansforetak/id2601194/</t>
  </si>
  <si>
    <t>NO.OSII.57</t>
  </si>
  <si>
    <t>The SRB is set to 1 % for the identified O-SIIs. Norway applies an SRB on the identified O-SIIs.</t>
  </si>
  <si>
    <t>https://www.regjeringen.no/en/aktuelt/decision-on-systemically-important-financial-institutions/id2424671/</t>
  </si>
  <si>
    <t>NO.OSII.1021</t>
  </si>
  <si>
    <t>New criteria for dentifying O-SIIs based on degree of systemic importance. In addition to DNB ASA and Kommunalbanken AS, Nordea Eiendomkreditt AS was added as an O-SII with a  buffer rate of 1 %</t>
  </si>
  <si>
    <t>https://www.regjeringen.no/en/aktuelt/notification-on-identification-of-domestic-systemically-important-banks/id2856417/</t>
  </si>
  <si>
    <t>NO.OSII.742</t>
  </si>
  <si>
    <t>The SRB is set to 2 % for the identified O-SIIs. Norway applies an SRB on the identified O-SIIs.</t>
  </si>
  <si>
    <t>https://www.regjeringen.no/no/aktuelt/beslutning-om-systemviktige-finansforetak/id2661924/</t>
  </si>
  <si>
    <t>NO.OSII.219</t>
  </si>
  <si>
    <t>Identification of the same three O-SIIs. Norway applies and SRB  on the identified O-SIIs</t>
  </si>
  <si>
    <t>Art. 133 CRD</t>
  </si>
  <si>
    <t>NO.OSII.24</t>
  </si>
  <si>
    <t>DNB ASA and Nordea Bank Norge ASA, plus the mortgage company Kommunalbanken AS which is a state instrumentality lender to the local government sector in Norway, are designated as systemically important financial institutions. Norway applies and SRB  on the identified O-SIIs</t>
  </si>
  <si>
    <t>https://www.regjeringen.no/en/aktuelt/Regulation-and-decision-on-systemically-important-financial-institutions/id759115/</t>
  </si>
  <si>
    <t>NO.OSII.896</t>
  </si>
  <si>
    <t>New criteria for dentifying O-SIIs based on degree of systemic importance. DNB ASA is assigned an O-SII buffer rate of 2 % and Kommunalbanken AS an O_SII  buffer rate of 1 %</t>
  </si>
  <si>
    <t>https://www.regjeringen.no/en/aktuelt/changes-in-banks-capital-requirements-have-been-adopted/id2790598/</t>
  </si>
  <si>
    <t>PL.OSII.442</t>
  </si>
  <si>
    <t>Komisja Nadzoru Finansowego (Polish Financial Supervision Authority)</t>
  </si>
  <si>
    <t>Identification of twelve O-SIIs and corresponding buffer rates (between 0% and 0.75%).</t>
  </si>
  <si>
    <t>https://www.knf.gov.pl/knf/pl/komponenty/img/Komunikat_OSII_2017.pdf</t>
  </si>
  <si>
    <t>PL.OSII.527</t>
  </si>
  <si>
    <t>Identification of eleven O-SIIs and corresponding buffer rates (between 0% and 1%).</t>
  </si>
  <si>
    <t>https://www.knf.gov.pl/knf/pl/komponenty/img/Komunikat_OSII_PL_8_08_2018_62553.pdf</t>
  </si>
  <si>
    <t>PL.OSII.720</t>
  </si>
  <si>
    <t>Identification of nine OSIIs. The buffer rates do not exceed 1%.</t>
  </si>
  <si>
    <t>https://www.knf.gov.pl/knf/pl/komponenty/img/Komunikat_KNF_ws_buforow_innej_instytucji_o_znaczeniu_systemowym_67416.pdf</t>
  </si>
  <si>
    <t>PL.OSII.880</t>
  </si>
  <si>
    <t>Identification of ten other systemically important institutions (O-SIIs) and definition of their O-SII buffer rates.</t>
  </si>
  <si>
    <t>https://www.knf.gov.pl/knf/pl/komponenty/img/Przeglad_adekwatnosci_wskaznika_bufora_innej_instytucji_o_znaczeniu_systemowym_71357.pdf</t>
  </si>
  <si>
    <t>PL.OSII.1078</t>
  </si>
  <si>
    <t>Komisja Nadzoru Finansowego (KNF) has decided to identify 10 Polish legal entities as O-SIIs.</t>
  </si>
  <si>
    <t>https://www.knf.gov.pl/knf/pl/komponenty/img/Przeglad_adekwatnosci_wskaznika_bufora_innej_instytucji_o_znaczeniu_systemowym_75726.pdf</t>
  </si>
  <si>
    <t>PL.OSII.1280</t>
  </si>
  <si>
    <t>Komisja Nadzoru Finansowego (Polish Financial Supervision Authority) has identified 10 O-SIIs and set the respective buffer rates.</t>
  </si>
  <si>
    <t>https://www.knf.gov.pl/knf/pl/komponenty/img/Przeglad_adekwatnosci_wskaznika_bufora_innej_instytucji_o_znaczeniu_systemowym_80606.pdf</t>
  </si>
  <si>
    <t>PL.OSII.1447</t>
  </si>
  <si>
    <t>Komisja Nadzoru Finansowego (Polish Financial Supervision Authority) has identified 10 OSIIs and set their respective buffers.</t>
  </si>
  <si>
    <t>https://www.knf.gov.pl/komunikacja/komunikaty?articleId=86897&amp;p_id=18</t>
  </si>
  <si>
    <t>PL.OSII.300</t>
  </si>
  <si>
    <t>https://www.knf.gov.pl/knf/pl/komponenty/img/instytucje_o_znaczeniu_systemowym_OSII_14_11_2016_54988.pdf</t>
  </si>
  <si>
    <t>PL.OSII.1610</t>
  </si>
  <si>
    <t>Based on data available as of 31 December 2023, 10 Polish legal entities were identified as O-SIIs. The O-SII buffer is applicable at the highest level of consolidation.
Compared to the results of the previous evaluation carried out in 2023 on the basis of data for the financial year ended 31 December 2022, there are no changes in the above presented list.</t>
  </si>
  <si>
    <t>PL.OSII.1692</t>
  </si>
  <si>
    <t>PT.OSII.1638</t>
  </si>
  <si>
    <t>PT.OSII.1465</t>
  </si>
  <si>
    <t>Banco de Portugal identified 7 OSIIs and set their respective buffers</t>
  </si>
  <si>
    <t>https://www.bportugal.pt/en/page/other-systemically-important-institutions-capital-buffer</t>
  </si>
  <si>
    <t>PT.OSII.1243</t>
  </si>
  <si>
    <t>Banco de Portugal has identified seven O-SIIs.</t>
  </si>
  <si>
    <t>PT.OSII.1048</t>
  </si>
  <si>
    <t>Banco de Portugal identified six OSIIs and their corresponding buffer rates.</t>
  </si>
  <si>
    <t>PT.OSII.855</t>
  </si>
  <si>
    <t>Identification of six other systemically important institutions (O-SIIs) and definition of their O-SII buffer rate</t>
  </si>
  <si>
    <t>https://www.bportugal.pt/en/page/o-sii-capital-buffer#:~:text=The%20other%20systemically%20important%20institutions,from%20misaligned%20incentives%20and%20moral</t>
  </si>
  <si>
    <t>PT.OSII.809</t>
  </si>
  <si>
    <t>The Board of Directors took a decision to postpone by one year the phase-in period of the O-SII buffer in Portugal, defined in 2017, as a reaction to the significant, but temporary, shock triggered by the coronavirus outbreak and to contribute to the effort being done for banks to continue to fulfil their role in funding the real economy as the economic effects of the coronavirus become apparent.</t>
  </si>
  <si>
    <t>https://www.bportugal.pt/en/comunicado/press-release-banco-de-portugal-decision-postpone-phase-period-capital-buffer-other</t>
  </si>
  <si>
    <t>PT.OSII.747</t>
  </si>
  <si>
    <t>https://www.bportugal.pt/en/comunicado/press-release-banco-de-portugal-imposition-capital-buffers-credit-institutions-1</t>
  </si>
  <si>
    <t>PT.OSII.566</t>
  </si>
  <si>
    <t>https://www.bportugal.pt/en/comunicado/press-release-banco-de-portugal-imposition-capital-buffers-credit-institutions-0</t>
  </si>
  <si>
    <t>PT.OSII.413</t>
  </si>
  <si>
    <t>https://www.bportugal.pt/en/comunicado/press-release-banco-de-portugal-imposition-capital-buffers-credit-institutions-identified</t>
  </si>
  <si>
    <t>PT.OSII.327</t>
  </si>
  <si>
    <t>PT.OSII.268</t>
  </si>
  <si>
    <t>Two-year phase-in regime of  O-SII buffer with 50% O-SII buffer as of 1 January 2018 and 100% as of 1 January 2019.</t>
  </si>
  <si>
    <t>https://www.bportugal.pt/en-US/OBancoeoEurosistema/ComunicadoseNotasdeInformacao/Pages/combp20160729.aspx</t>
  </si>
  <si>
    <t>PT.OSII.26</t>
  </si>
  <si>
    <t>RO.OSII.537</t>
  </si>
  <si>
    <t>National Committee for Macroprudential Oversight (NCMO)</t>
  </si>
  <si>
    <t>Identification of nine O-SIIs and the setting of the O-SII buffer.</t>
  </si>
  <si>
    <t>RO.OSII.1239</t>
  </si>
  <si>
    <t>The National Committee for Macroprudential Oversight (NCMO) has identified nine OSIIs and set the OSII buffers accordingly.</t>
  </si>
  <si>
    <t>RO.OSII.27</t>
  </si>
  <si>
    <t>Identification of nine O-SIIs and corresponding O-SII buffer rates.</t>
  </si>
  <si>
    <t>RO.OSII.1680</t>
  </si>
  <si>
    <t>RO.OSII.1450</t>
  </si>
  <si>
    <t>The National Committee for Macroprudential Oversight (NCMO) has identified 9 OSIIs and set their respective buffers.</t>
  </si>
  <si>
    <t>RO.OSII.313</t>
  </si>
  <si>
    <t>Identification of eleven O-SIIs. The O-SII buffer shall consist of and shall be supplementary to CET1 capital.</t>
  </si>
  <si>
    <t>RO.OSII.404</t>
  </si>
  <si>
    <t>RO.OSII.1038</t>
  </si>
  <si>
    <t>The National Committee for Macroprudential Oversight (NCMO) identified nine OSIIs and set the OSII buffers accordingly.</t>
  </si>
  <si>
    <t>https://www.bnr.ro/Macroprudential-Policy-15315-Mobile.aspx</t>
  </si>
  <si>
    <t>RO.OSII.845</t>
  </si>
  <si>
    <t>Identification of eight Other Systemically Important Institutions (O-SIIs).</t>
  </si>
  <si>
    <t>RO.OSII.723</t>
  </si>
  <si>
    <t>SK.OSII.28</t>
  </si>
  <si>
    <t>Re-identification of five O-SIIs and corresponding buffer rates.</t>
  </si>
  <si>
    <t>Art. 131(3) CRD</t>
  </si>
  <si>
    <t>http://www.nbs.sk/_img/Documents/_Legislativa/_FullWordingsOther/18-2016.pdf</t>
  </si>
  <si>
    <t>SK.OSII.29</t>
  </si>
  <si>
    <t>Identification of five O-SIIs and corresponding buffer rates.</t>
  </si>
  <si>
    <t>SK.OSII.1549</t>
  </si>
  <si>
    <t>Národná banka Slovenska has identified five institutions as O-SII (one less compared to last year) and set the respective O-SII buffer rates.</t>
  </si>
  <si>
    <t>SK.OSII.514</t>
  </si>
  <si>
    <t>Resetting of O-SII buffers.</t>
  </si>
  <si>
    <t>SK.OSII.365</t>
  </si>
  <si>
    <t>SK.OSII.691</t>
  </si>
  <si>
    <t>Identification of 5 O-SIIs and their corresponding buffer rates (between 0.5% and 1 %).</t>
  </si>
  <si>
    <t>https://www.nbs.sk/_img/Documents/_Dohlad/Makropolitika/3-2019.pdf</t>
  </si>
  <si>
    <t>SK.OSII.808</t>
  </si>
  <si>
    <t>Identification of 5 O-SIIs and their corresponding buffer rates (between 0.25% and 1 %). In comparison with previous decision the O-SII buffer for Poštová banka a.s. decreased by 0.75 p.p. from 1% to 0.25%, from 1 January 2021.</t>
  </si>
  <si>
    <t>SK.OSII.927</t>
  </si>
  <si>
    <t>Identification of five O-SII institution and applicable buffer rates.</t>
  </si>
  <si>
    <t>SK.OSII.1126</t>
  </si>
  <si>
    <t>Národná banka Slovenska has decided to designate six institutions as O-SII and set the respective O-SII buffer rates.</t>
  </si>
  <si>
    <t>SK.OSII.1364</t>
  </si>
  <si>
    <t>No change has been made to the list of O-SII and to the lever of buffer applied from the previsous notification.</t>
  </si>
  <si>
    <t>SI.OSII.1619</t>
  </si>
  <si>
    <t>Banka Slovenije identified five O-SIIs and set their respective buffers.</t>
  </si>
  <si>
    <t>https://www.bsi.si/en/financial-stability/macroprudential-supervision/macroprudential-instruments/capital-buffer-for-other-systemically-important-institutions-o-sii-buffer</t>
  </si>
  <si>
    <t>SI.OSII.326</t>
  </si>
  <si>
    <t>Identification of eight O-SIIs. Banks are required to fulfill requirement from 2019 onward.</t>
  </si>
  <si>
    <t>http://www.bsi.si/en/financial-stability.asp?MapaId=1887</t>
  </si>
  <si>
    <t>SI.OSII.426</t>
  </si>
  <si>
    <t>SI.OSII.577</t>
  </si>
  <si>
    <t>SI.OSII.767</t>
  </si>
  <si>
    <t>SI.OSII.30</t>
  </si>
  <si>
    <t>SI.OSII.911</t>
  </si>
  <si>
    <t>Identification of six other systemically important institutions (O-SIIs) and definition of their O-SII buffer rates.</t>
  </si>
  <si>
    <t>SI.OSII.1091</t>
  </si>
  <si>
    <t>Banka Slovenije identified six O-SIIs and their relative buffer rates.</t>
  </si>
  <si>
    <t>SI.OSII.1418</t>
  </si>
  <si>
    <t>Banka Slovenije identified six O-SIIs and their respective buffer rates.</t>
  </si>
  <si>
    <t>https://darwin.escb.eu/livelink/livelink/app/nodes/1738391488</t>
  </si>
  <si>
    <t>SI.OSII.1503</t>
  </si>
  <si>
    <t>Banka Slovenije identified six O-SIIs and set their respective buffers</t>
  </si>
  <si>
    <t>ES.OSII.31</t>
  </si>
  <si>
    <t>ES.OSII.304</t>
  </si>
  <si>
    <t>http://www.bde.es/f/webbde/GAP/Secciones/SalaPrensa/ComunicadosBCE/NotasInformativasBCE/16/Arc/Fic/presbe2016_50en.pdf</t>
  </si>
  <si>
    <t>ES.OSII.550</t>
  </si>
  <si>
    <t>ES.OSII.398</t>
  </si>
  <si>
    <t>ES.OSII.1613</t>
  </si>
  <si>
    <t>https://www.bde.es/bde/en/areas/estabilidad/herramientas-macroprudenciales/identificacion__bbe79f06544b261.html</t>
  </si>
  <si>
    <t>ES.OSII.728</t>
  </si>
  <si>
    <t>ES.OSII.1411</t>
  </si>
  <si>
    <t>Identification of four O-SIIs and corresponding O-SII buffer rates</t>
  </si>
  <si>
    <t>https://www.bde.es/f/webbe/GAP/Secciones/SalaPrensa/NotasInformativas/23/presbe2023-79en.pdf</t>
  </si>
  <si>
    <t>ES.OSII.1140</t>
  </si>
  <si>
    <t>https://www.bde.es/f/webbde/GAP/Secciones/SalaPrensa/NotasInformativas/22/presbe2022_64en.pdf</t>
  </si>
  <si>
    <t>ES.OSII.984</t>
  </si>
  <si>
    <t>https://www.bde.es/f/webbde/GAP/Secciones/SalaPrensa/NotasInformativas/21/presbe2021_58en.pdf</t>
  </si>
  <si>
    <t>ES.OSII.843</t>
  </si>
  <si>
    <t>SE.OSII.433</t>
  </si>
  <si>
    <t>Identification of four O-SIIs and setting of corresponding O-SII buffer rates. O-SII buffer set at 2% for all four O-SIIs.</t>
  </si>
  <si>
    <t>SE.OSII.536</t>
  </si>
  <si>
    <t>Identification of four O-SIIs and setting of corresponding O-SII buffer rates. Three O-SIIs have a 2% buffer rate and one has a 0% buffer.</t>
  </si>
  <si>
    <t>https://www.fi.se/contentassets/9a2818906c0848b698ea1c4e5896c6c4/o-sii-pm-
2018-10-19.pdf</t>
  </si>
  <si>
    <t>SE.OSII.766</t>
  </si>
  <si>
    <t>https://www.fi.se/contentassets/b3059027158541c69619f73536bda8bb/identifieringkapitalbuffertpaslag-
o-sii.pdf</t>
  </si>
  <si>
    <t>SE.OSII.871</t>
  </si>
  <si>
    <t>Identification of four Other Systemically Important Institutions (O-SIIs) and their buffer rates.</t>
  </si>
  <si>
    <t>https://www.fi.se/contentassets/0ba815d50b964a128b20e961f86da9ce/tillsynskategorisering-kreditinstitut-filialer-2021.pdf</t>
  </si>
  <si>
    <t>SE.OSII.1063</t>
  </si>
  <si>
    <t>Finansinspektionen (Swedish Financial Supervisory Authority) has identified 4 banks as O-SII and set the respective capital buffer.</t>
  </si>
  <si>
    <t>SE.OSII.1135</t>
  </si>
  <si>
    <t>Finansinspektionen has identified four O-SIIs and set the respective buffer rates.</t>
  </si>
  <si>
    <t>https://www.fi.se/</t>
  </si>
  <si>
    <t>SE.OSII.1441</t>
  </si>
  <si>
    <t>Finansinspektionen has identified four OSIIs and set their respective buffers.</t>
  </si>
  <si>
    <t>SE.OSII.1542</t>
  </si>
  <si>
    <t>Finansinspektionen (Swedish Financial Supervisory Authority) has identified 4 banks as O-SII and set the respective capital buffer at 1%</t>
  </si>
  <si>
    <t>http://www.fi.se/</t>
  </si>
  <si>
    <t>SE.OSII.32</t>
  </si>
  <si>
    <t>Identification of four O-SIIs and formal decisions on corresponding O-SII buffer rates. The threshold score has been set at 350. O-SII buffer set at 2% for the four O-SIIs.</t>
  </si>
  <si>
    <t>http://www.fi.se/sv/publicerat/nyheter/2015/formella-beslut-fattade---sveriges-fyra-storbanker-systemviktiga-institut/
http://www.fi.se/contentassets/fe065aee43f04436a45b98f30f78ac7a/o-sii-pm-2017.pdf</t>
  </si>
  <si>
    <t>UK.OSII.34</t>
  </si>
  <si>
    <t>Identification of 16 O-SIIs. No buffer has been applied. 	The PRA used a threshold score for automatic designation of 350 basis points.</t>
  </si>
  <si>
    <t>http://www.bankofengland.co.uk/pra/Documents/crdiv/2015osiilist.pdf</t>
  </si>
  <si>
    <t>UK.OSII.881</t>
  </si>
  <si>
    <t>Identification of fifteen other systemically important institutions (O-SIIs) and definition of an O-SII buffer rate for five ring-fenced bodies (RFBs) and one large building society, following the entry into force of CRD V.</t>
  </si>
  <si>
    <t>https://www.bankofengland.co.uk/-/media/boe/files/prudential-regulation/crd-iv/2020-list-of-uk-firms-designated-as-osiis.pdf?la=en&amp;hash=2EFECF4EC47BBDB9C6CF745DCBC299D56EA3A44C</t>
  </si>
  <si>
    <t>UK.OSII.736</t>
  </si>
  <si>
    <t>Identification of 15 OSIIs. No O-SII buffer has been set.</t>
  </si>
  <si>
    <t>UK.OSII.556</t>
  </si>
  <si>
    <t>UK.OSII.410</t>
  </si>
  <si>
    <t>Identification of 16 O-SIIs. No O-SII buffer has been set.</t>
  </si>
  <si>
    <t>UK.OSII.322</t>
  </si>
  <si>
    <t>Systemic Risk Buffer</t>
  </si>
  <si>
    <t>Reciprocation</t>
  </si>
  <si>
    <t>Type of exposures applied to</t>
  </si>
  <si>
    <t>Interaction with O-SII</t>
  </si>
  <si>
    <t>Parent measure</t>
  </si>
  <si>
    <t>Reciprocation has been requested</t>
  </si>
  <si>
    <t>ESRB recommendation on Reciprocity</t>
  </si>
  <si>
    <t>Number of reciprocations</t>
  </si>
  <si>
    <t>AT.SRYB.860</t>
  </si>
  <si>
    <t>Identification of the Systemic Risk Buffer (SyRB) rates for eleven institutions.</t>
  </si>
  <si>
    <t>All exposures</t>
  </si>
  <si>
    <t>Higher of</t>
  </si>
  <si>
    <t>AT.SRYB.46</t>
  </si>
  <si>
    <t>https://www.fma.gv.at/en/banks/macroprudential-supervision/details-about-systemic-risk-buffer/</t>
  </si>
  <si>
    <t>AT.SRYB.1268</t>
  </si>
  <si>
    <t>the Austrian Financial Markets Authority reset the systemic risk buffer on an individual basis level for five institutions and activated the systemic risk buffer for five institutions on an individual basis level.  (i.e. based on the 2022 amendment 10 institutions are subject to a SyRB on individual level).</t>
  </si>
  <si>
    <t>AT.SRYB.1267</t>
  </si>
  <si>
    <t>The Austrian Financial Market Authority reset the systemic risk buffer for 11 institutions on a consolidated level and activated the systemic risk buffer for one institution on a consolidated level (i.e. based on the 2022 amendment 12 institutions are subject to a SyRB on consolidated level).</t>
  </si>
  <si>
    <t>AT.SRYB.1672</t>
  </si>
  <si>
    <t>The current SyRB rate (ranging from 0.5% to 1% depending on the institution) is extended to an additional Austrian bank and will have to respect a 0.5% buffer rate.</t>
  </si>
  <si>
    <t>Cumulative</t>
  </si>
  <si>
    <t>AT.SRYB.931</t>
  </si>
  <si>
    <t>Identification of 11 institutions subject to Systemic Risk Buffer and relative rates.</t>
  </si>
  <si>
    <t>AT.SRYB.584</t>
  </si>
  <si>
    <t>Setting and maintaing of the systemic risk buffer for 13 institutions, up to a maximum of 2%. Continuation of the phasing-in period with the buffer applied to all exposures on either a consolidated or individual basis.</t>
  </si>
  <si>
    <t>AT.SRYB.423</t>
  </si>
  <si>
    <t>Setting and maintaing of the systemic risk buffer for 13 institutions, up to a maximum of 2%. Continuation of the phasing-in period with the buffer applied to all exposures on either a consolidated or individual basis. Two components of the SRB aim to tackle systemic vulnerability (up to 1%) and systemic cluster risk (up to 1%).</t>
  </si>
  <si>
    <t>Phasing in of a systemic risk buffer of up to 2% for 12 banks, composed of a buffer of up to 1% for systemic vulnerability and a buffer of up to 1% to address systemic cluster risk.</t>
  </si>
  <si>
    <t>BE.SRYB.1414</t>
  </si>
  <si>
    <t>The Belgian Central Bank has changed the level of a sectoral systemic risk buffer for  IRB retail exposures secured by residential immovable property from 9% to 6%.</t>
  </si>
  <si>
    <t>Retail exposures secured by residential property</t>
  </si>
  <si>
    <t>BE.SRYB.1099</t>
  </si>
  <si>
    <t>ESRB/2023/9</t>
  </si>
  <si>
    <t>National Bank of Beligium activated a new SyRB applicable to a subset of IRB credit institutions for retail exposures secured by residential immovable property.</t>
  </si>
  <si>
    <t>2024-04-01 00:00:00</t>
  </si>
  <si>
    <t>The Sectoral Systemic Risk buffer was re-calibrated from 9% to 6%</t>
  </si>
  <si>
    <t>ESRB/2022/3</t>
  </si>
  <si>
    <t>BG.SRYB.1461</t>
  </si>
  <si>
    <t>Bulgarian National Bank reset an existing SRB to 3%, applicable to all institutions authorised in the Member State.</t>
  </si>
  <si>
    <t>Domestic exposures</t>
  </si>
  <si>
    <t>BG.SRYB.48</t>
  </si>
  <si>
    <t>https://www.bnb.bg/BankSupervision/BSCapitalBuffers/BSCBSystemicRiskBuffer/index.htm</t>
  </si>
  <si>
    <t>BG.SRYB.1064</t>
  </si>
  <si>
    <t>https://www.bnb.bg/BankSupervision/BSCapitalBuffers/BSCBPressReleases/PR_20211206_EN</t>
  </si>
  <si>
    <t>BG.SRYB.726</t>
  </si>
  <si>
    <t>SRB of 3% applied to the domestic exposures of all banks in Bulgaria on individual, consolidated and sub-consolidated basis.</t>
  </si>
  <si>
    <t>BG.SRYB.416</t>
  </si>
  <si>
    <t>http://www.bnb.bg/BankSupervision/BSCapitalBuffers/BSCBSystemicRiskBuffer/index.htm?toLang=_EN&amp;toLang=_EN</t>
  </si>
  <si>
    <t>http://www.bnb.bg/PressOffice/POPressReleases/POPRDate/PR_20140529_EN</t>
  </si>
  <si>
    <t>HR.SRYB.877</t>
  </si>
  <si>
    <t>Definition of a single 1.5% systemic risk buffer (SyRB) rate in light of CRD V.</t>
  </si>
  <si>
    <t>HR.SRYB.49</t>
  </si>
  <si>
    <t>https://www.hnb.hr/documents/20182/2293863/e-priopcenje-ZS-ssr-23122020.pdf/99f33435-1849-c01b-b69e-beaece0c1a7b?t=1608797169505</t>
  </si>
  <si>
    <t>HR.SRYB.1281</t>
  </si>
  <si>
    <t>Hrvatska Narodna Banka (National Bank of Croatia) has reset an existing Systemic Risk Buffer of 1.5% on all institutions in Croatia.</t>
  </si>
  <si>
    <t>https://www.hnb.hr/en/core-functions/financial-stability/cnb-s-macroprudential-policy/systemic-risk-buffer</t>
  </si>
  <si>
    <t>HR.SRYB.1683</t>
  </si>
  <si>
    <t>2025</t>
  </si>
  <si>
    <t>Two SRB rates (1.5% and 3%) applied to two sub-groups of banks (market share &lt; 5%, market share ≥  5%). Applied to all exposures.</t>
  </si>
  <si>
    <t>(a) all exposures located in the Member State that is setting the buffer
(d) all exposures located in other Member States
(e) exposures located in third countries</t>
  </si>
  <si>
    <t>2017-08-17 00:00:00</t>
  </si>
  <si>
    <t>Replaced by HR.SRYB.710</t>
  </si>
  <si>
    <t>https://www.hnb.hr/documents/20182/120622/e-odluka-primjeni-zastitnog-sloja-strukturni-sistemski-rizik-61-2014.pdf/d412130f-a793-40d7-acf8-861a8787f2f0</t>
  </si>
  <si>
    <t>HR.SRYB.1688</t>
  </si>
  <si>
    <t>HR.SRYB.710</t>
  </si>
  <si>
    <t>Changes were made regarding the measurement of the nature, scope and complexity of activities of a credit institution/group of credit institutions, which provides a basis for the determination of the level of the structural systemic risk buffer rate. There are still two SRB rates (1.5% and 3%) applied to two sub-groups of banks (market share &lt; 5%, market share ≥  5%). Applied to all exposures.</t>
  </si>
  <si>
    <t>https://www.hnb.hr/en/core-functions/financial-stability/macroprudential-measures/structural-systemic-risk-buffer</t>
  </si>
  <si>
    <t>HR.SRYB.709</t>
  </si>
  <si>
    <t>Maintaining the existing SRB.</t>
  </si>
  <si>
    <t>https://www.hnb.hr/documents/20182/120622/e-odluka-o-primjeni-zastitnog-sloja-za-strukturni-sistemski-rizik-nn.pdf/4a117c07-f7f0-4984-aa1e-399e0fbd9cb5</t>
  </si>
  <si>
    <t>CZ.SRYB.1025</t>
  </si>
  <si>
    <t>Under CRD V, Czech National Bank de-activate an existing SyRB. The CNB will apply an O-SII buffer to replace the function performed by the SRB from 1 October 2021.</t>
  </si>
  <si>
    <t>n/a</t>
  </si>
  <si>
    <t>CZ.SRYB.50</t>
  </si>
  <si>
    <t>CZ.SRYB.867</t>
  </si>
  <si>
    <t>Identification of the systemic risk buffer (SyRB) rates applied to five institutions.</t>
  </si>
  <si>
    <t>CZ.SRYB.525</t>
  </si>
  <si>
    <t>Maintaining existing systemic risk buffer rates for five institutions.</t>
  </si>
  <si>
    <t>CZ.SRYB.267</t>
  </si>
  <si>
    <t>Change of the level and the scope of an existing SRB.</t>
  </si>
  <si>
    <t>https://www.cnb.cz/en/public/media_service/press_releases_cnb/2016/20160824_systemic_risk_buffer.html</t>
  </si>
  <si>
    <t>CZ.SRYB.1565</t>
  </si>
  <si>
    <t>Exposure concentration</t>
  </si>
  <si>
    <t>The CNB decided to set a general systemic risk buffer rate of 0.5% for all institutions authorised in Czech Republic, in response to the increasing  systemic risks. They are primarily related to the Czech economy's great openness, high foreign trade concentration, strong concentration of production and employment by economic activity, the potential costs associated with the transformation of the energy-intensive domestic economy to a climate-neutral one and growth in cyber risk. Those risks are being intensified by continued geopolitical tensions and growing uncertainty surrounding future economic developments abroad, especially in key trading partner countries</t>
  </si>
  <si>
    <t>https://www.cnb.cz/en/financial-stability/macroprudential-policy/the-systemic-risk-buffer/provision-of-a-general-nature-on-setting-the-systemic-risk-buffer-rate/Provision-of-a-general-nature-of-6-June-2024/</t>
  </si>
  <si>
    <t>SRB of between 1% and 3% depending on the systemic importance of the bank. Applied to all exposures on sub-consolidated basis.</t>
  </si>
  <si>
    <t>DK.SRYB.1537</t>
  </si>
  <si>
    <t>The Danish Ministry of Industry, Business and Financial Affairs</t>
  </si>
  <si>
    <t>Setting a Systemic Risk Buffer (SyRB) of 7% for exposures to real estate companies located in Denmark, given the significantly increasing share of lending by Danish credit institutions to real estate companies and the current macroeconomic conditions that increase the potential materialisation of risks related to real estate companies. In addition, the measure will apply to two subsidiaries whose parent is established in other member states, i.e., Nordea Kredit Realkreditaktieselskab (Nordea Bank Abp) and Express Bank (BNP Paribas). However, exposures secured by real estate in the 0 to 15 percent loan-to-value range will be exempt from the measure.</t>
  </si>
  <si>
    <t>https://www.eng.em.dk/news/2024/jun/information-regarding-the-sector-specific-systemic-risk-buffer-for-exposures-to-real-estate-companies</t>
  </si>
  <si>
    <t>DK.SRYB.367</t>
  </si>
  <si>
    <t>Activation of SRB in the Faroe Islands. All Danish credit institutions with exposures in the Faroe Islands above 200 mn DKK are requested to recognise the SRB. The general SRB of 1 pct. for exposures in the Faroe Islands will be applied cumulatively with the institution specific systemic risk buffer.</t>
  </si>
  <si>
    <t>Domestic (Faroe Islands)</t>
  </si>
  <si>
    <t>DK.SRYB.616</t>
  </si>
  <si>
    <t>Increase of the existing SRB in Faroe Islands to 2 percent as of 1 January 2019 and 3 percent as of 1 January 2020. All credit institutions in the Faroe Islands and all Danish credit institutions with exposures in the Faroe Islands above the threshold of 200 mn DKK are requested to recognise the SRB.</t>
  </si>
  <si>
    <t>DK.SRYB.52</t>
  </si>
  <si>
    <t>Yearly setting of SRB of between 1% and 3% for O-SIIs depending on the level of systemic importance of each institution.</t>
  </si>
  <si>
    <t>DK.SRYB.606</t>
  </si>
  <si>
    <t>Setting of SRB of between 0.5% and 3% for 7 O-SIIs depending on the level of systemic importance of each institution.</t>
  </si>
  <si>
    <t>DK.SRYB.355</t>
  </si>
  <si>
    <t>Setting of SRB for Nordea Kredit Realkreditaktieselskab.</t>
  </si>
  <si>
    <t>DK.SRYB.51</t>
  </si>
  <si>
    <t>http://www.evm.dk/nyheder/2015/15-10-20-sifibufferkrav</t>
  </si>
  <si>
    <t>EE.SRYB.54</t>
  </si>
  <si>
    <t>SRB of 2%. Applied to all banks.</t>
  </si>
  <si>
    <t>EE.SRYB.792</t>
  </si>
  <si>
    <t>Full release of the SyRB due to COVID-19, setting it to 0%. De-activated from 06/12/2021 onwards.</t>
  </si>
  <si>
    <t>https://www.riigiteataja.ee/en/eli/ee/EPP/reg/528042020004/consolide</t>
  </si>
  <si>
    <t>EE.SRYB.483</t>
  </si>
  <si>
    <t>The SRB rate remains at 1%. Applied to all banks.</t>
  </si>
  <si>
    <t>ESRB/2018/5</t>
  </si>
  <si>
    <t>EE.SRYB.53</t>
  </si>
  <si>
    <t>Change the level of existing SRB from 2% to 1%. Applied to all banks.</t>
  </si>
  <si>
    <t>ESRB/2016/4</t>
  </si>
  <si>
    <t>FI.SRYB.513</t>
  </si>
  <si>
    <t>Activation of a new SyRB to be implemented without a phase-in period. The SyRB is applied at 1% for all credit institutions authorised in Finland. Additionally, institution-specific rates are applied to three credit institutions.</t>
  </si>
  <si>
    <t>FI.SRYB.1311</t>
  </si>
  <si>
    <t>The Finnish Financial Supervisory Authority FIN-FSA set a SyRB of 1% applicable to all exposures located in all countries.</t>
  </si>
  <si>
    <t>FI.SRYB.787</t>
  </si>
  <si>
    <t>Resilience of financial infrastructures</t>
  </si>
  <si>
    <t>Full release of the SyRB due to COVID-19.</t>
  </si>
  <si>
    <t>FI.SRYB.692</t>
  </si>
  <si>
    <t>Continuing the existing SRB. The SRB addresses all credit institutions authorised in Finland on a 1.0 % level, while the SRB amounts to 3.0 % for Nordea Group, 2.0 % for OP Group and 1.5 % for Municipality Finance Plc, applied on a consolidated level.</t>
  </si>
  <si>
    <t>FR.SRYB.1365</t>
  </si>
  <si>
    <t>The Haut Conseil de Stabilité Financière activated a Sectoral Systemic Risk Buffer of 3% applied to the seven largest French banking groups whose exposures to NFC groups, that have a total debt to EBITDA ratio negative or greater than 6, exceeds 5% of Tier 1 capital.</t>
  </si>
  <si>
    <t>DE.SRYB.1515</t>
  </si>
  <si>
    <t>Following a review, German authorities have maintained the 2% sectoral SyRB applied on all institutions for all exposures of individuals and legal entities secured by residential real estate located in Germany.</t>
  </si>
  <si>
    <t>DE.SRYB.1090</t>
  </si>
  <si>
    <t>https://www.bafin.de/SharedDocs/Veroeffentlichungen/DE/Meldung/2024/meldung_2024_03_27_Wohnimmobilienkredite.html;jsessionid=DFC4CA69D70D0524C6681FBE106F0BD8.internet971</t>
  </si>
  <si>
    <t>Germany has imposed a sectoral SyRB of 2% that applies to all institutions for all exposures of individuals and legal entities secured by residential real estate located in Germany. The application date of the measure is April 1, 2022, but the buffer only has to be fully implemented from February 1, 2023 (phase-in).</t>
  </si>
  <si>
    <t>https://www.bafin.de/SharedDocs/Veroeffentlichungen/EN/Aufsichtsrecht/Verfuegung/vf_220331_allgvfg_systemrisikopuffer_en.html</t>
  </si>
  <si>
    <t>ESRB/2022/4</t>
  </si>
  <si>
    <t>HU.SRYB.509</t>
  </si>
  <si>
    <t>Reassesment of institution-specific systemic risk buffer set in the range of 0% to 2%.</t>
  </si>
  <si>
    <t>HU.SRYB.55</t>
  </si>
  <si>
    <t>http://www.mnb.hu/en/financial-stability/macroprudential-policy/the-macroprudential-toolkit/instruments-to-limit-excessive-exposure-concentrations</t>
  </si>
  <si>
    <t>Institution-specific systemic risk buffer set in the range of 0% to 2%, depending on the contribution of the institution to the systemic risk stemming from problem commercial real estate (CRE)  exposures. Type of exposures applied to: Domestic commercial real estate (CRE) problem exposures including CRE project finance exposures and held-for-sale on-balance taken CREs</t>
  </si>
  <si>
    <t>http://www.mnb.hu/en/pressroom/press-releases/press-releases-2015/mnb-introduces-systemic-risk-buffer-to-manage-risks-arising-from-problem-project-loans</t>
  </si>
  <si>
    <t>HU.SRYB.793</t>
  </si>
  <si>
    <t>Suspension of the 2020 revision of the SyRB due to COVID-19. The SyRB will remain at 0% until further notice.</t>
  </si>
  <si>
    <t>http://www.mnb.hu/en/financialstability/
macroprudential-policy/the-macroprudential-toolkit/instruments-tolimit-
excessive-exposure-concentrations</t>
  </si>
  <si>
    <t>HU.SRYB.707</t>
  </si>
  <si>
    <t>Recalibration of the SyRB to now depend on (1) problem exposures as defined as: (a) the gross amount of domestic commercial real estate project loans if these: (i) are non-performing for more than 90 days, (ii) are restructured, with the exception of loans restructured more than a year ago that have become performing loans since, and (iii) other project loans that are deemed non-performing by the financial institution; (b) the gross amount of domestic on-balance sheet held-for-sale commercial real estate; and (2) foreign currency exposures qualified as non-problem mean the gross value of the domestic commercial real-estate project loans in foreign currency and not classified under problem exposures. Institutions with non-weighted, aggregated gross value of the problem exposures and the foreign currency exposures qualified as non-problem problem below HUF 20 billion are exempted from the SyRB requirement. If however, this sum is larger than HUF 20 billion, then dependant on the ratio between the weighted sum of these exposures and the bank's domestic Pillar I requirements a buffer from 0% to 2% will be assigned.</t>
  </si>
  <si>
    <t>https://www.mnb.hu/en/financial-stability/macroprudential-policy/the-macroprudential-toolkit/instruments-to-limit-excessive-exposure-concentrations</t>
  </si>
  <si>
    <t>HU.SRYB.694</t>
  </si>
  <si>
    <t>Change the level of an existing SRB decreased to 0%. The size of the SyRB rate depends on the contribution of institutions to the systemic risk stemming from problem commercial real estate (CRE) exposures. The contribution to the systemic risk is measured by the ratio of Problem CRE exposures to the sub-consolidated domestic Pillar I capital requirement. A de minimis rule applies: institutions with problem exposures below HUF 5 billion are exempted from the SyRB requirement. Based on 31 March 2019 data, none of the banks is above the 30-percent threshold having problem exposures exceeding the HUF 5 billion de minimis limit.</t>
  </si>
  <si>
    <t>https://www.mnb.hu/en/pressroom/press-releases/press-releases-2019/mnb-does-not-prescribe-the-systemic-risk-buffer-requirement-for-any-bank-in-relation-to-problem-project-loans-due-to-significant-portfolio-cleaning</t>
  </si>
  <si>
    <t>HU.SRYB.375</t>
  </si>
  <si>
    <t>Activation of the SRB with buffer rates between 0% and 2%.</t>
  </si>
  <si>
    <t>https://www.mnb.hu/sajtoszoba/sajtokozlemenyek/2017-evi-sajtokozlemenyek/a-problemas-projekthitelekbol-eredo-kockazatok-kezelese-erdekeben-az-mnb-ket-bankra-rendszerkockazati-tokepuffert-irt-elo</t>
  </si>
  <si>
    <t>HU.SRYB.301</t>
  </si>
  <si>
    <t>Change of the date of the introduction of the systemic risk buffer (SRB) for problem CRE exposures.</t>
  </si>
  <si>
    <t>http://www.mnb.hu/en/pressroom/press-releases/press-releases-2016/mnb-allows-more-time-for-banks-to-build-capital-buffers-in-order-to-support-lending</t>
  </si>
  <si>
    <t>HU.SRYB.1535</t>
  </si>
  <si>
    <t>Re-setting of an institution-specific systemic risk buffer set in the range of 0% to 2%, depending on the contribution of the institution to the systemic risk stemming from problem commercial real estate (CRE)  exposures. The degree of contribution to systemic risk (hereinafter: calibration indicator) is determined as the ratio of the weighted sum of the elements of the commercial real estate financing project loan portfolio (numerator) and the total Pillar I capital requirement (denominator).</t>
  </si>
  <si>
    <t>www.mnb.hu/letoltes/syrb-conditions-21092023-en.pdf</t>
  </si>
  <si>
    <t>IS.SRYB.1092</t>
  </si>
  <si>
    <t>Central Bank of Iceland reset an existing SyRB related to a subset of credit institutions, which applies to all exposures located in the Member State.</t>
  </si>
  <si>
    <t>IS.SRYB.811</t>
  </si>
  <si>
    <t>IS.SRYB.485</t>
  </si>
  <si>
    <t>The application of the SRB to eight institutions at a rate of 3%. Applied to domestic exposures.</t>
  </si>
  <si>
    <t>All information on decisions regarding capital buffers is available on the
Central Bank’s website, see here: https://www.cb.is/financialstability/
macroprudential-policy/capital-buffers/
The justification for maintaining the buffer is unchanged from its initial
activation, see here: https://www.cb.is/library/Skraarsafn---
EN/Financial_Stability/Capital-Buffers/en_Systemic-risk-buffer_final.pdf</t>
  </si>
  <si>
    <t>IS.SRYB.1665</t>
  </si>
  <si>
    <t>The Central Bank of Iceland decided to decrease the level of the existing SyRB that applies to all institutions from 3% to 2%.</t>
  </si>
  <si>
    <t>IT.SRYB.1531</t>
  </si>
  <si>
    <t>Banca d'Italia decided to activate a sectoral SyRB on domestic credit and counterparty credit risks exposures of 1%.</t>
  </si>
  <si>
    <t xml:space="preserve">(b.i) all retail exposures to natural persons that are secured by residential property in the Member State that is setting the buffer
(b.ii) all exposures to legal persons that are secured by mortgages on commercial immovable property in the Member State that is setting the buffer
(b.iii) all exposures to legal persons excluding those specified in point (ii) in the Member State that is setting the buffer
(b.iv) all exposures to natural persons excluding those specified in point (i) in the Member State that is setting the buffer
(c) subsets of any of the sectoral exposures identified in point (b). Please specify the subsets in Section 2.3
</t>
  </si>
  <si>
    <t>https://www.bancaditalia.it/media/comunicati/documenti/2024-01/cs-en-consultazione-2024.03.08.pdf?language_id=1</t>
  </si>
  <si>
    <t>LI.SRYB.437</t>
  </si>
  <si>
    <t>The application of the SRB to three institutions at the rate of 2.5% of risk-weighted assets. Applied to all exposures.</t>
  </si>
  <si>
    <t>LI.SRYB.1101</t>
  </si>
  <si>
    <t>The FMA in Liechtenstein decided to change the calibration and scope of the pre-existing systemic risk buffer. The buffer (1%) now applies to all institution authorised in the member state for their retail exposures to  natural persons that are secured by residential property in Liechtenstein and all exposures to legal persons that are secured by mortgages on commercial immovable property in Liechtenstein.</t>
  </si>
  <si>
    <t>https://www.fma-li.li/files/fma/afms-2021-3-eng.pdf</t>
  </si>
  <si>
    <t>LI.SRYB.738</t>
  </si>
  <si>
    <t>The SyRB is decreased for the three O-SIIs from 2,5% to 2%, while it is introduced at 1% for other three institutions. Applied to all exposures.</t>
  </si>
  <si>
    <t>https://www.fma-li.li/en/supervision/financial-stability-and-macroprudential-supervision/macroprudential-instruments/systemic-risk-buffer.html</t>
  </si>
  <si>
    <t>LI.SRYB.576</t>
  </si>
  <si>
    <t>https://www.fma-li.li/de/finanzintermediare/bereich-banken/banken-und-wertpapierfirmen/kapitalpuffer/systemrisikopuffer.html</t>
  </si>
  <si>
    <t>LI.SRYB.1389</t>
  </si>
  <si>
    <t>The FMA in Liechtenstein decided to reset the existing systemic risk buffer. The buffer (1%) applies to all institutions authorised in the memberstate for their retail exposures to natural persons that are secured by residential property in Liechtenstein and all exposures to legal persons that are secured by mortgages on commercial immovable property in Liechtenstein.</t>
  </si>
  <si>
    <t>LT.SRYB.1617</t>
  </si>
  <si>
    <t>Lietuvos bankas reset the already existing sectoral SyRB rate of 2% remains appropriate. Lietuvos bankas considers the intended measure sufficient and appropriate for the observed level of the systemic RRE risk. The intended measure complements the existing borrower-based measures in addressing the RRE sector risks by increasing financial sector’s resilience. The measure together with other applicable capital buffers is deemed as proportionate to the observed level of RRE risks and simulated losses in adverse scenario.</t>
  </si>
  <si>
    <t>LT.SRYB.1079</t>
  </si>
  <si>
    <t>https://www.lb.lt/en/financial-stability-instruments-1#ex-1-4</t>
  </si>
  <si>
    <t>Lietuvos bankas has decided to introduce a sectoral systemic risk buffer to all retail exposures.
Introduction of the new sectoral systemic risk buffer of 2% of the amount of an institution’s risk-weighted domestic exposures to natural persons, which are secured by residential real estate,.
The buffer is applicable to banks and central credit union groups established in Lithuania (at the highest national consolidation level), whose housing loan portfolios are equal or exceed €50 million.</t>
  </si>
  <si>
    <t>ESRB/2022/1</t>
  </si>
  <si>
    <t>MT.SRYB.1304</t>
  </si>
  <si>
    <t>Central Bank of Malta</t>
  </si>
  <si>
    <t>The Central Bank of Malta introduced a sectoral SyRB of 1.5% for all retail exposures to natural persons that are secured by residential property. A 1% rate will be applicable from 30th September 2023, which will increase to 1.5% as from 31st March 2024.</t>
  </si>
  <si>
    <t>https://www.centralbankmalta.org/sectoral-systemic-risk-buffer</t>
  </si>
  <si>
    <t>NL.SRYB.876</t>
  </si>
  <si>
    <t>Reduction of the SRB for the three largest banks to 0% in light of the new legislation introduced by the CRD V.</t>
  </si>
  <si>
    <t>NL.SRYB.56</t>
  </si>
  <si>
    <t>NL.SRYB.789</t>
  </si>
  <si>
    <t>Partial release of the SyRB due to COVID-19. The change in SyRB levels is prompted by the desire to keep the current level of the capital requirement constant, but to modify the composition of the requirement. The reduction of the systemic buffers (in
combination with a reduction of one O-SII buffer) therefore goes hand in hand with DNB’s intention to build up a 2% CCyB in the future. This shifts DNB’s current composition – which heavily focusses on structural buffers – to a more balanced mix.</t>
  </si>
  <si>
    <t>NL.SRYB.755</t>
  </si>
  <si>
    <t>Setting of the SyRB for three O-SIIs.</t>
  </si>
  <si>
    <t>NL.SRYB.582</t>
  </si>
  <si>
    <t>SRB of 3% applied to 3 banks. 
Applied to all exposures on a consolidated basis.</t>
  </si>
  <si>
    <t>SRB of 3% applied to 3 largest banks (with on- and off-balance sheet items exceeding 50% of the Dutch GDP). 
Applied to all exposures on a consolidated basis.</t>
  </si>
  <si>
    <t>All exposures to legal persons secured by commercial immovable property</t>
  </si>
  <si>
    <t>NO.SRYB.472</t>
  </si>
  <si>
    <t>A SRB of 3% is applied to all banks in Norway.</t>
  </si>
  <si>
    <t>2020-12-31 00:00:00</t>
  </si>
  <si>
    <t>NO.SRYB.1275</t>
  </si>
  <si>
    <t>All Norwegian banks are subject to a 4.5% Systemic Risk Buffer (SyRB) rate on Norwegian exposures. Banks not using the Advanced IRB Approach were  subject to a 3 % SYRB on all exposures until end 2023.</t>
  </si>
  <si>
    <t>https://www.regjeringen.no/en/aktuelt/banks-capital-requirements-unchanged/id2951593/</t>
  </si>
  <si>
    <t>ESRB/2023/1</t>
  </si>
  <si>
    <t>NO.SRYB.895</t>
  </si>
  <si>
    <t>All Norwegian advanced IRB banks are subject to a 4.5% Systemic Risk Buffer (SyRB) rate on Norwegian exposures. Banks applying the standardized approach and the Foundation IRB approach will be subject to a 3 % SYRB on all exposures until end 2022.</t>
  </si>
  <si>
    <t>2022-12-31 00:00:00</t>
  </si>
  <si>
    <t>ESRB/2021/3</t>
  </si>
  <si>
    <t>NO.SRYB.1678</t>
  </si>
  <si>
    <t>A SRB of 4.5% is applied to all banks in Norway.</t>
  </si>
  <si>
    <t>https://www.norges-bank.no/en/topics/financial-stability/macroprudential-supervision/systemic-risk-buffer/</t>
  </si>
  <si>
    <t>PL.SRYB.380</t>
  </si>
  <si>
    <t>Minister Finansów (Minister of Finance)</t>
  </si>
  <si>
    <t>Activation of a SRB of 3%. The SRB will apply to all exposures located in Poland.</t>
  </si>
  <si>
    <t>2020-03-19 00:00:00</t>
  </si>
  <si>
    <t>Repeal of the measure and full release of the SyRB due to COVID-19. Final decision was taken on 18/03/2020.</t>
  </si>
  <si>
    <t>https://archiwum.nbp.pl/macroprudentialsupervision/podstawa/14-2017-2017-01-13.pdf, https://www.dziennikustaw.gov.pl/DU/rok/2017/pozycja/1776</t>
  </si>
  <si>
    <t>PL.SRYB.812</t>
  </si>
  <si>
    <t>Other/undefined</t>
  </si>
  <si>
    <t>De-activation of the exisiting SyRB buffer for all institutions.</t>
  </si>
  <si>
    <t>https://nbp.pl/wp-content/uploads/2023/06/16-03-2020-Press-release-after-the-meeting-of-the-FSC.pdf ,  http://www.dziennikustaw.gov.pl/DU/2020/473</t>
  </si>
  <si>
    <t>PT.SRYB.1439</t>
  </si>
  <si>
    <t>Banco de Portugal activated a 4% sectoral systemic risk buffer, for IRB retail exposures secured by residential immovable property, for which the collateral is located in Portugal.</t>
  </si>
  <si>
    <t xml:space="preserve">(b.i) all retail exposures to natural persons that are secured by residential property in the Member State that is setting the buffer
(c) subsets of any of the sectoral exposures identified in point (b). Please specify the subsets in Section 2.3
</t>
  </si>
  <si>
    <t>RO.SRYB.1449</t>
  </si>
  <si>
    <t>The National Committee for Macroprudential Oversight (NCMO) has changed the level of the existing systemic risk buffer for all institutions in Romania, according to their Non-Performing Loan ratio and coverage ratio.</t>
  </si>
  <si>
    <t>RO.SRYB.583</t>
  </si>
  <si>
    <t>RO.SRYB.1061</t>
  </si>
  <si>
    <t>Biannual recalibration of an existing SyRB.</t>
  </si>
  <si>
    <t>An SRB is calculated on the basis of all exposures of the banks to which the buffer applies. Vulnerabilities that have been identified are (i) the possibility of a renewed increase in non-performing loan ratios, following the rise in interest rates and the slowdown in the balance sheet clean-up process; (ii) the tensions surrounding macroeconomic equilibria. The level of the systemic risk buffer is set at 0 percent, 1 percent or 2 percent, according to the 12 month average of the non-performing loans ratio and the coverage ratio with provisions reported by each individual credit institution. The level of the systemic risk buffer is set at 0 percent, 1 percent or 2 percent, according to the 12 months average (July 2017 - June 2018)  of the non-performing loans ratio and the coverage ratio with provisions reported by each individual credit institution. 22 institutions identified.</t>
  </si>
  <si>
    <t>RO.SRYB.354</t>
  </si>
  <si>
    <t>Deactivation of SRB of 1% calculated on the basis of all exposures of the banks to which the buffer applies.</t>
  </si>
  <si>
    <t>RO.SRYB.58</t>
  </si>
  <si>
    <t>http://www.bnr.ro/page.aspx?prid=12537</t>
  </si>
  <si>
    <t>RO.SRYB.727</t>
  </si>
  <si>
    <t>Biannual reassessment of theSyRB rates calculated for each individual credit institutions, in accordance with the calibration methodology set by the NBR, based on the NCMO Recommendation.</t>
  </si>
  <si>
    <t>http://www.bnr.ro/The-systemic-risk-buffer-17993.aspx</t>
  </si>
  <si>
    <t>RO.SRYB.912</t>
  </si>
  <si>
    <t>RO.SRYB.921</t>
  </si>
  <si>
    <t>An SRB of 1% is calculated on the basis of all exposures of the banks to which the buffer applies, which are institutions whose parent bank is registered in a country for which the credit rating for sovereign bonds issued by the central government is not investment grade.</t>
  </si>
  <si>
    <t>RO.SRYB.1282</t>
  </si>
  <si>
    <t>National Committee for Macroprudential Oversight (NCMO) has changed the level of the existing systemic risk buffers for all the institutions authorised in Romania.</t>
  </si>
  <si>
    <t>RO.SRYB.1283</t>
  </si>
  <si>
    <t>RO.SRYB.1404</t>
  </si>
  <si>
    <t>RO.SRYB.1544</t>
  </si>
  <si>
    <t>National Committee for Macroprudential Oversight (NCMO) has changed the level of the existing systemic risk buffers for all the institutions authorised in Romania.
The level of the systemic risk buffer is set at 0 percent, 1 percent or 2 percent, according to the 12 months average of the non-performing loans ratio and the coverage ratio with provisions reported by each individual credit institution, in accordance with the methodology established in the implementation process of the SyRB</t>
  </si>
  <si>
    <t>SK.SRYB.59</t>
  </si>
  <si>
    <t>The level of the previously applied systemic risk buffer has been changed for certain O-SIIs:  1% from January 1 2017, 1% or 2% from January 1 2018</t>
  </si>
  <si>
    <t>SK.SRYB.190</t>
  </si>
  <si>
    <t>http://www.nbs.sk/_img/Documents/_Legislativa/_FullWordingsOther/19-2016.pdf</t>
  </si>
  <si>
    <t>SK.SRYB.364</t>
  </si>
  <si>
    <t>Reduced scope of O-SIIs banks with applied systemic risk buffer and changed level of an existing SRB.</t>
  </si>
  <si>
    <t>SK.SRYB.515</t>
  </si>
  <si>
    <t>Maintaining of an existing SRB to 1%, applied to 3 selected O-SIIs, no phase-in planned.</t>
  </si>
  <si>
    <t>Systemic risk buffer for certain O-SIIs, applied to domestic exposures and on solo as well as (sub)consolidated basis. Phase-in: 0% from 1.1.2016, 0 or 0,5% from 1.1.2017, 1% from 1.1.2018.</t>
  </si>
  <si>
    <t>http://www.nbs.sk/_img/Documents/_Legislativa/_FullWordingsOther/EN-Roz-6-2015.pdf</t>
  </si>
  <si>
    <t>SK.SRYB.690</t>
  </si>
  <si>
    <t>https://www.nbs.sk/_img/Documents/_Dohlad/Makropolitika/4-2019.pdf</t>
  </si>
  <si>
    <t>SK.SRYB.815</t>
  </si>
  <si>
    <t>https://www.nbs.sk/_img/Documents/_Dohlad/Makropolitika/Rozhodnutie_vankus_SRB_na_zverejnenie_EN-REV.pdf</t>
  </si>
  <si>
    <t>SK.SRYB.928</t>
  </si>
  <si>
    <t>Abolition of an existing SyRB for three banks.</t>
  </si>
  <si>
    <t>SI.SRYB.1505</t>
  </si>
  <si>
    <t>Banka Slovenije reduced the sectoral systemic risk buffer rate for all retail exposures to natural persons secured by residential immovable property from 1.0% to 0.5%. 
The changes will come to force from 1 January 2025.</t>
  </si>
  <si>
    <t>SI.SRYB.1100</t>
  </si>
  <si>
    <t>Banka Slovenije set a sectoral systemic risk buffer of 1.0 % for all retail exposures to natural persons secured by residential immovable property</t>
  </si>
  <si>
    <t>2023-12-19 00:00:00</t>
  </si>
  <si>
    <t>The rate has been recalibrated from 1.0% to 0.5%</t>
  </si>
  <si>
    <t>SI.SRYB.1504</t>
  </si>
  <si>
    <t>Banka Slovenije set a sectoral systemic risk buffer of 0.5 % for all other exposures to natural persons.</t>
  </si>
  <si>
    <t>SE.SRYB.1650</t>
  </si>
  <si>
    <t>Resetting of the 3% systemic risk buffer for three banks</t>
  </si>
  <si>
    <t>SE.SRYB.1256</t>
  </si>
  <si>
    <t>https://www.fi.se/en/published/news/2024/fi-maintains-level-of-systemic-risk-buffer-for-major-banks/</t>
  </si>
  <si>
    <t>Sweden set a SyRB of 3% applicable to three institutions</t>
  </si>
  <si>
    <t>SE.SRYB.61</t>
  </si>
  <si>
    <t>The 3 largest banking groups are subject to an SRB of 3%. Applied to all exposures on a consolidated basis. These banks are subject to a 2% Pillar II requirement as well. 
When the measure first became active, the 4 largest banking groups were subject to an SRB until Nordea’s re-domicile of its headquarters to Finland in 2018.</t>
  </si>
  <si>
    <t>http://www.fi.se/en/published/news/2014/capital-requirements-for-swedish-banks/</t>
  </si>
  <si>
    <t>SE.SRYB.872</t>
  </si>
  <si>
    <t>Identification of the Systemic Risk Buffer (SyRB) rate of 3 per cent applicable to three institutions.</t>
  </si>
  <si>
    <t>UK.SRYB.882</t>
  </si>
  <si>
    <t>Removal of the systemic risk buffer (SyRB) following the introduction of an O-SII buffer under CRD V.</t>
  </si>
  <si>
    <t>UK.SRYB.686</t>
  </si>
  <si>
    <t>https://www.bankofengland.co.uk/prudential-regulation/publication/2020/pra-decision-on-srb-rates-december-2020</t>
  </si>
  <si>
    <t>First setting of a SRB between 1% and 2% for 6 sub-groups of 14 institutions (5 ring-fenced bodies RFBs sub-groups  - Barclays, HSBC, Lloyds Banking Group, The Royal Bank of Scotland, Santander UK and one large building society - Nationwide Building Society) based on the amount of their total assets. The SRB applies on a sub-consolidated basis for RFBs and on a consolidated basis for building societies.</t>
  </si>
  <si>
    <t>https://www.bankofengland.co.uk/-/media/boe/files/prudential-regulation/publication/2019/systemic-risk-buffer-rates-for-ring-fenced-banks-and-large-building-societies-may-2019.pdf?la=en&amp;hash=C0EB566F4A61A5B7119F6FA1E39D252E8C7DEEE8</t>
  </si>
  <si>
    <t>Type of measure</t>
  </si>
  <si>
    <t>AT.LMAT.1155</t>
  </si>
  <si>
    <t>The Financial Market Authority has set an upper limit of 35 years for the maturity of loans, with an exemption bucket of 5% of the assessment basis or EUR 250,000, whichever is higher. The assessment basis for the exemption bucket is the maximum from new lending in the current or previous six months period. Interim loans with a maturity of up to 2 years that are amortized by the sale of a dwelling or granting of public subsidies are exempt from the measure. The sum total of all newly extended loans falling into any one of the exemption buckets should account for no more than 20% of the assesment basis or EUR 1 million, whichever is higher.</t>
  </si>
  <si>
    <t>https://www.fma.gv.at/national/fma-verordnungen/</t>
  </si>
  <si>
    <t>AT.LTVR.1154</t>
  </si>
  <si>
    <t>Austrian Financial Market Authority (FMA) has set an upper limit of 90% for loan-to-value ratios (LTV) with an exemption bucket of 20% of the assessment basis or EUR 1 million, whichever is higher. The assessment basis for the exemption bucket is the maximum from new lending in the current or previous six months period. Interim loans with a maturity of up to 2 years that are amortized by the sale of a dwelling or granting of public subsidies are exempt from the measure. The sum total of all newly extended loans falling into any one of the exemption buckets should account for no more than 20% of the assesment basis or EUR 1 million, whichever is higher.
Update 2024: Following discussions with the ECB the measure will be considered as an LTC measure.</t>
  </si>
  <si>
    <t>National Law</t>
  </si>
  <si>
    <t>AT.DSTI.1153</t>
  </si>
  <si>
    <t>Austrian Financial Market Authority (FMA) has set an upper limit of 40% for debt service-to-income ratios with an exemption bucket of 10% of the assessment basis or EUR 500,000, whichever is higher. The assessment basis for the exemption bucket is the maximum from new lending in the current or previous six months period. Interim loans with a maturity of up to 2 years that are amortized by the sale of a dwelling or granting of public subsidies are exempt from the measure. The sum total of all newly extended loans falling into any one of the exemption buckets should account for no more than 20% of the assesment basis or EUR 1 million, whichever is higher.</t>
  </si>
  <si>
    <t>AT.LTVR.730</t>
  </si>
  <si>
    <t>The Financial Market Stability Board (FMSB) stipulated in the 17 meeting of the FMSB quantitative criteria for sustainable lending in real estate financing (communication on sustainable lending standards):
A down payment lower than a benchmark of 20% of total financing needs is considered to be a cause of concern.</t>
  </si>
  <si>
    <t>https://www.fmsg.at/en/publications/press-releases/2018/17th-meeting.html</t>
  </si>
  <si>
    <t>AT.DSTI.731</t>
  </si>
  <si>
    <t>The Financial Market Stability Board (FMSB) stipulated in the 17 meeting of the FMSB quantitative criteria for sustainable lending in real estate financing (communication on sustainable lending standards):
	Lenders should be conservative in calculating borrowers’ household income and expenditure when making lending decisions to ensure that debt servicing remains within reasonable limits (benchmark of no more than 30% to 40% of household net income). Only verified, regular and sustainable income should be included in this calculation.</t>
  </si>
  <si>
    <t>AT.LMAT.732</t>
  </si>
  <si>
    <t>The Financial Market Stability Board (FMSB) stipulated in the 17 meeting of the FMSB quantitative criteria for sustainable lending in real estate financing (communication on sustainable lending standards):
	Loan terms should not be excessively long and should take into account the income situation over the course of the borrower’s life. Loans with maturities of more than 35 years should be granted only in exceptional cases.</t>
  </si>
  <si>
    <t>AT.FLEX.1568</t>
  </si>
  <si>
    <t>Flexibility quota</t>
  </si>
  <si>
    <t>The Austrian Financial Market Authority (FMA) has decided to change the exemption bucket of his current implemented borrowers based measures (BBMs), i.e., DSTI, LTV ratio and loan to maturity. The exemption buckets for BBMs that were based on specific ratios have been merged into a single institution-specific exemption bucket for 20% of new lending volume. In the FMA simplies the administration of the exemption buckets for the current implemented BBMs.</t>
  </si>
  <si>
    <t>https://www.fmsg.at/en/publications/warnings-and-recommendations/2022/recommendation-fmsb-2-2022.html</t>
  </si>
  <si>
    <t>BE.LTVR.781</t>
  </si>
  <si>
    <t>LTV for buy-to-let purposes: 80%, tolerance of 10% (with 0% over 90%).
LTV for owner-occupied purposes: 90%, tolerance for first time buyers of 35% (with 5% over 100%) and tolerance for others of 20% (with 0% over 100%).
Overall LTV &amp; DSTI or DTI limit (new production of loans): max 5% over LTV of 90% and DSTI over 50% or DTI over 9.
Applicable to all banks and insurers; "comply or explain" close monitoring for all institutions with an outstanding amount of mortgage loans in excess of 1 billion euro, which are currently 14 Belgian banks and 4 Belgian insurance companies.</t>
  </si>
  <si>
    <t>https://www.nbb.be/en/articles/national-bank-urges-financial-sector-exercise-more-caution-granting-risky-mortgage-loans</t>
  </si>
  <si>
    <t>BG.STTE.255</t>
  </si>
  <si>
    <t>2002</t>
  </si>
  <si>
    <t>The BNB has been conducting regular internal stress test exercises since 2002 to assess the resilience of the banking system to various risk parameters. In 2016 some simulations were conducted together with the asset quality review of the banks in Bulgaria as a part of the comprehensive assessment exercise.</t>
  </si>
  <si>
    <t>http://www.bnb.bg/PressOffice/POPressReleases/POPRDate/PR_20160428_1_EN</t>
  </si>
  <si>
    <t>BG.LMAT.1679</t>
  </si>
  <si>
    <t>On 11 September 2024 the Governing Council (GC) of the Bulgarian National Bank (BNB) introduced the following restrictions to lending standards’ indicators of loans to the household sector, secured by residential real estate (RRE):
- Restriction of up to 85% on the loan-to-value ratio at origination (LTV-O);
- Restriction of up to 50% on the debt-serviceto-income ratio at origination (DSTI-O);
- Restriction of up to 30 years on the maturity of the loan at origination. 
Banks could originate or renegotiate RRE loans with parameters that deviate from the introduced requirements
with a total approved or renegotiated volume during the current quarter of up to 5% of the total gross amount of the new or renegotiated RRE loans during the preceding quarter.</t>
  </si>
  <si>
    <t>https://www.bnb.bg/AboutUs/PressOffice/POPressReleases/POPRDate/PR_20240911_1_EN</t>
  </si>
  <si>
    <t>BG.LTVR.1602</t>
  </si>
  <si>
    <t>On 11 September 2024 the Governing Council (GC) of the Bulgarian National Bank (BNB) introduced the following restrictions to lending standards’ indicators of loans to the household sector, secured by residential real estate (RRE):
- Restriction of up to 85% on the loan-to-value ratio at origination (LTV-O);
- Restriction of up to 50% on the debt-serviceto-income ratio at origination (DSTI-O);
- Restriction of up to 30 years on the maturity of the loan at origination.
Banks could originate or renegotiate RRE loans with parameters that deviate from the introduced requirements
with a total approved or renegotiated volume during the current quarter of up to 5% of the total gross amount of the new or renegotiated RRE loans during the preceding quarter.</t>
  </si>
  <si>
    <t>BG.DSTI.1601</t>
  </si>
  <si>
    <t>CY.LTVR.915</t>
  </si>
  <si>
    <t>LTV ratio (as amended in 2021) shall not exceed:
(a) 80% in case the credit facility is granted for financing the primary permanent residence of the borrower. 
(b) 50% in case the credit facility is granted to real estate developing companies for financing the acquisition or the construction of luxurious properties
(c) 70% for all other property financing cases.</t>
  </si>
  <si>
    <t>CY.LTVR.237</t>
  </si>
  <si>
    <t>The present measure is complementary to the LTV limits of 80% (for the borrowers’ primary residence) and 70% (for all other property types) already in place for credit
facilities financing the acquisition / construction /
renovation / completion of immovable property.</t>
  </si>
  <si>
    <t>CY.STTE.95</t>
  </si>
  <si>
    <t>Credit institutions should carry out scenario analysis in order to assess the impact on debt servicing in case of increases in the loan instalment due to increases in the interest rate or any other cause. 
The scenarios must include inter alia, the following:
i) The impact on the debt servicing amount due to an increase in the basic interest rate, such 
as assuming that interest rates move towards their long term average level;
ii) A fall in the estimated cash flow generating capacity of the applicant, under the most 
probable and worst case scenaria combining all the adverse effects;
iii) The impact on the debt servicing amount due to an adverse change in the exchange rate 
of at least 20%;
iv) In the case of project finance, simultaneous fall in estimated sales proceeds and increase 
in estimated costs of construction, under the most probable and worst case scenaria 
combining all the adverse effects.</t>
  </si>
  <si>
    <t>https://www.centralbank.cy/images/media/pdf/2023-CONSOL-CREDIT-GRANT-AND-REVIEW-PROCESS-DIRECTIVE-UP-TO-2023-EN0001.pdf</t>
  </si>
  <si>
    <t>CY.DSTI.92</t>
  </si>
  <si>
    <t>The debt servicing amount shall be limited to either: (a) 35% of the borrower's "total monthly income" or, (b) the difference between the "total monthly income" and the "total monthly expenditure", whichever is lower.                             
For high income borrowers, the debt servicing amount may exceed the above limit of 35%. This limit shall in any case not exceed the lower of either: (a) 60% of the borrowers' total monthly income, or (b) the difference between the "total monthly income" and the "total monthly expenditure".</t>
  </si>
  <si>
    <t>Amended by the Directive on Credit Granting and Review Processes of 2016 and the amendment is recorded as a separate measure.</t>
  </si>
  <si>
    <t>First version: 24 November 2003
LTV ratio (as amended in 2013) shall not exceed:
(a) 80% in case the credit facility is granted for financing the primary permanent residence of the borrower. 
(b) 70% for all other property financing cases.
(on 18 March 2016, the provisions on the LTV ratio were transferred from the CBC directive on loan origination to a CBC circular to banks, without any changes)</t>
  </si>
  <si>
    <t>CY.DSTI.258</t>
  </si>
  <si>
    <t>Amendment of previous DSTI measure. The debt servicing amount shall be limited to 80% of the borrower's "net disposable income". As for CRE the cap is 80% for loans for all properties that are not the primary residence of the borrower. In case of loan in foreign currency, the total debt servicing amount should be limited to 65% of the "net disposable income".</t>
  </si>
  <si>
    <t>https://www.centralbank.cy/images/media/pdf/EN_Directive_Credit_Granting_Review_Processes_2016.pdf</t>
  </si>
  <si>
    <t>CZ.LTVR.96</t>
  </si>
  <si>
    <t>"The Czech National Bank Recommendation on the management of risks associated with the provision of retail loans secured by residential property" is updated yearly and comprises a series of measures (LTV, DSTI, DTI, Maturity, Amortisation and Stress Test).
Residential mortgage loans with an LTV &gt; 90% for not more than 10% of the total amount of such loans in any given quarter. No residential mortgage loans with LTV &gt; 100%.</t>
  </si>
  <si>
    <t>Please see CZ.LTVR.234</t>
  </si>
  <si>
    <t>https://www.cnb.cz/export/sites/cnb/en/legislation/.galleries/official_information/v_2015_06_20615180_en.pdf</t>
  </si>
  <si>
    <t>2013/1</t>
  </si>
  <si>
    <t>CZ.STTE.97</t>
  </si>
  <si>
    <t>"The Czech National Bank Recommendation on the management of risks associated with the provision of retail loans secured by residential property" includes recommendation that providers should assess clients’ ability to service loans under adverse conditions (i.e. stress-testing of clients’ ability to service the loan), especially in the event of a sizeable fall in income, a rise in lending rates or a change in the conditions of clients who apply together for a retail loan secured by residential property (e.g. a divorce between spouses or a loss of income of one of the spouses or partners).</t>
  </si>
  <si>
    <t>CZ.LTVR.234</t>
  </si>
  <si>
    <t>The upper LTV limit of 100% (2015 recommendation) will be reduced to 95% on 1 October 2016 and to 90% on 1 April 2017.
The limit of 10% for new loans in a particular quarter with an LTV of 90%–100% (2015 recommendation) will change to a limit of 10% of new loans with an LTV of 85%–95% on 1 October 2016. The limit will be set at 15% of new loans in a particular quarter with an LTV of 80%–90% from 1 April 2017 onwards.
An LTV of 60% applies to financing of buy-to-let residential property.</t>
  </si>
  <si>
    <t>Please see CZ.LTVR.904</t>
  </si>
  <si>
    <t>https://www.cnb.cz/export/sites/cnb/en/legislation/.galleries/official_information/v_2016_06_20616180_en.pdf</t>
  </si>
  <si>
    <t>CZ.DSTI.520</t>
  </si>
  <si>
    <t>The upper limit for the DSTI ratio of 45% (of the applicant's net annual income). This may be exceeded for 5% of the total amount of retail loans secured by residential property, in justifiable cases i.e. a high probability of a loan repayment is identified.</t>
  </si>
  <si>
    <t>https://www.cnb.cz/export/sites/cnb/en/legislation/.galleries/official_information/vestnik_2018_08_21018180_en.pdf</t>
  </si>
  <si>
    <t>CZ.DETI.521</t>
  </si>
  <si>
    <t>DTI</t>
  </si>
  <si>
    <t>The upper limit for the DTI ratio of 9 (of the applicant's net annual income). This may be exceeded for 5% of the total amount of retail loans secured by residential property, in justifiable cases i.e. a high probability of a loan repayment is identified.</t>
  </si>
  <si>
    <t>CZ.LMAT.775</t>
  </si>
  <si>
    <t>"The Czech National Bank Recommendation on the management of risks associated with the provision of retail loans secured by residential property" includes recommendation that the maturity of consumer credit secured by residential property should not exceed 30 years. The maturity of unsecured consumer credit provided to clients that have consumer credit secured by residential property should not exceed 8 years.</t>
  </si>
  <si>
    <t>CZ.LTVR.904</t>
  </si>
  <si>
    <t>The limit on the LTV ratio (the size of the loan relative to the value of the pledged property) has been increased to 90% (from 80%). A 5% exemption to mortgages with higher LTVs applies. The previous option to provide a maximum of 15% of the total volume of mortgages with an LTV between 80% and 90% has been abolished.
Starting from July 8 2020, the LTV limit for buy-to-let mortgages was relaxed to 90% from 60%.</t>
  </si>
  <si>
    <t>https://www.cnb.cz/export/sites/cnb/en/legislation/.galleries/official_information/vestnik_2020_09_21320180_en.pdf</t>
  </si>
  <si>
    <t>CZ.DSTI.905</t>
  </si>
  <si>
    <t>The limit on the DSTI ratio (total debt service relative to net monthly income) has been increased to 50% (from 45%). A 5% exemption to mortgages with higher DSTI applies. 
Starting from July 1 2020, the limit on the DSTI ratio (total debt service relative to net monthly income) has been cancelled.</t>
  </si>
  <si>
    <t>CZ.LAMO.908</t>
  </si>
  <si>
    <t>"The Czech National Bank Recommendation on the management of risks associated with the provision of retail loans secured by residential property" includes recommendation that providers should not provide retail loans secured by residential property with a non-standard repayment schedule leading to a shift of the client’s credit commitments to a later period.</t>
  </si>
  <si>
    <t>2013/01</t>
  </si>
  <si>
    <t>CZ.DSTI.1070</t>
  </si>
  <si>
    <t>The Czech National Bank has set a DSTI ratio of 	50% for consumer credit secured by residential property for financing the purchase of owner-occupied residential property of an applicant who is under the age of 36 at the time the loan is granted, or applicants living in a marriage or registered partnership, at least one of whom is not yet 36 at the time the loan is granted, and a DSTI ratio of 	45% for consumer credit secured by residential property of the other applicants than referred above.</t>
  </si>
  <si>
    <t>https://www.cnb.cz/export/sites/cnb/en/financial-stability/.galleries/macroprudential_policy/provision-of-a-general-nature/pgn_i_2021_limits_on_credit_ratio.pdf</t>
  </si>
  <si>
    <t>CZ.LTVR.1071</t>
  </si>
  <si>
    <t>The Czech National bank has set a LTV of 90% for consumer credit secured by residential property for financing the purchase of owner-occupied residential property of an applicant who is under the age of 36 at the time the loan is granted, or applicants living in a marriage or registered partnership, at least one of whom is not yet 36 at the time the loan is granted, and a LTV of 80% for consumer credit secured by residential property of the other applicants than referred above.
Provider may exceed the upper limit on a credit ratio set by the CNB for consumer credit provided in the current calendar quarter by a maximum of 5% of total consumer credit secured by residential property provided in the previous calendar quarter.
Providers are also recommended to ensure that the LTV ratio of no consumer credit secured by residential property provided under a statutory exemption exceeds 100%.</t>
  </si>
  <si>
    <t>CZ.DETI.1072</t>
  </si>
  <si>
    <t>The Czech National Bank has set a DTI of 9.5 for consumer credit secured by residential property for financing the purchase of owner-occupied residential property of an applicant who is under the age of 36 at the time the loan is granted, or applicants living in a marriage or registered partnership, at least one of whom is not yet 36 at the time the loan is granted, and a DTI of 8.5 for consumer credit secured by residential property of the other applicants than referred above.</t>
  </si>
  <si>
    <t>DK.LTVR.98</t>
  </si>
  <si>
    <t>Home buyers are generally required to make at least a 5 percent down payment (own financing) when purchasing a home.</t>
  </si>
  <si>
    <t>https://www.finanstilsynet.dk/da/Nyheder-og-Presse/Pressemeddelelser/Arkiv/Presse-2014/Pressemeddelelse-tilsynsdiamant-realkreditinsitutter-021214</t>
  </si>
  <si>
    <t>DK.LTIR.248</t>
  </si>
  <si>
    <t>Guidelines for banks and mortgage credit institutions to ensure caution in new lending for residential real estate in geographical areas with high price levels and high price increases compared to the rest of the country. The guideline includes 7 best practices including an LTI-rule (loan to gross income) that states:
a) If LTI is between 4 and 5 households should have sufficient wealth (including properties but excluding pension schemes) so that net wealth is still positive in case of a decline in the value of the property by 10 percent
b) If LTI is above 5 households should have sufficient wealth (including properties but excluding pension schemes) so that net wealth is still positive in case of a decline in the value of the property by 25 percent.</t>
  </si>
  <si>
    <t>http://finanstilsynet.dk/da/Nyheder%20og%20presse/Pressemeddelelser/2016/Pressemedddelelse-Vejledning-om-forsigtighed-i-kreditvudering-ved-belaaning-010216</t>
  </si>
  <si>
    <t>EE.DSTI.1506</t>
  </si>
  <si>
    <t>Eesti Pank decided to change the calculation principles of the DSTI requirement. According to the amendments the calculation of the loan payments must use the interest rate set in the contract or 6%, whichever is higher (previously, interest rate set in the contract plus 2 pp, or 6%, whichever is higher).
The DSTI limit of 50% remains unchanged.</t>
  </si>
  <si>
    <t>EE.DSTI.102</t>
  </si>
  <si>
    <t>EE.LTVR.104</t>
  </si>
  <si>
    <t>All credit institutions operating in Estonia are subject to a LTV limit of 85% (90% if guaranteed by KredEx) for new housing loans. Up to 15% of the amount of new housing loans issued in a quarter are allowed to breach the limit(s).</t>
  </si>
  <si>
    <t>http://www.eestipank.ee/en/financial-stability/requirements-housing-loans</t>
  </si>
  <si>
    <t>All credit institutions operating in Estonia are subject to a DSTI limit of not more than 50% of borrower's net income for new housing loans. The DSTI ratio is calculated using either the interest rate in the loan contract (base rate plus margin) plus 2 percentage points, or an annual rate of 6%, whichever is higher. Up to 15% of the amount of new housing loans issued in a quarter are allowed to breach the limit(s).</t>
  </si>
  <si>
    <t>EE.LMAT.103</t>
  </si>
  <si>
    <t>All credit institutions in Estonia are subject to a maturity limit of 30 years for new housing loans. Up to 15% of the amount of new housing loans issued in a quarter are allowed to breach the limit(s).</t>
  </si>
  <si>
    <t>FI.DSTI.1402</t>
  </si>
  <si>
    <t>The Finnish Financial Supervisory Authority FIN-FSA recommended that the stressed debt-service-to-income (DSTI) ratio should not exceed 60%. New loans with a stressed DSTI ratio above 60% should account for no more than 15% of the euro volume of new housing loans granted by the lender in a calendar year. The stressed servicing costs should be calculated with a maturity of no more than 25 years and an interest rate of at least 6% (except for loans with long-term interest rate hedges and fixed-rate loans).</t>
  </si>
  <si>
    <t>FI.LMAT.1406</t>
  </si>
  <si>
    <t>A 30 year maturity limit for housing loans was introduced into the Act on Credit Institutions. Credit providers being allowed to deviate from the limit by up to 10% of their quarterly lending volume.</t>
  </si>
  <si>
    <t>FI.LTVR.1455</t>
  </si>
  <si>
    <t>The Board of the Financial Supervisory Authority (FIN-FSA) restored the maximum LTC ratio for residential mortage loans for non first-time home buyers to its statutory baseline level of 90%.</t>
  </si>
  <si>
    <t>FI.LTVR.105</t>
  </si>
  <si>
    <t>https://www.finanssivalvonta.fi/en/financial-market-stability/macroprudential/macroprudential-decisions-and-appendices/macroprudential-decisions-2023/macroprudential-decision-19-december-2023/</t>
  </si>
  <si>
    <t>LTV of 90% (95% for first-time house buyers) by law. Cap can be tightened by 10 percentage points by Finanssivalvonta.</t>
  </si>
  <si>
    <t>FI.LTVR.839</t>
  </si>
  <si>
    <t>Maximum loan-to-collateral (LTC) ratio, as referred to in chapter 15, section 11 of the Credit Institutions Act. The statutory standard level of the LTC ratio is 90% for residential mortgage loans other than first-home loans. The level may be lowered by 10 % based on a decision by the FIN-FSA Board. With the decision of 19 March 2018, the Board lowered the maximum LTC ratio for residential mortgage loans other than first-home loans by 5 percentage points. On 29 June 2020, The FIN-FSA Board decided that the LTC ratio will be adjusted and brought back to the statutory standard level of 90%.</t>
  </si>
  <si>
    <t>https://www.finanssivalvonta.fi/en/publications-and-press-releases/Press-release/2020/macroprudential-decision-residential-mortgage-loan-cap-to-be-relaxed-countercyclical-capital-buffer-rate-remains-unchanged-at-0.0-percent/</t>
  </si>
  <si>
    <t>FI.LTVR.457</t>
  </si>
  <si>
    <t>The lowering of the binding maximum loan-to-value ratio, as referred to in chapter 15, section 11 of the Credit Institutions Act, by 5 percentage points to 85% for residential mortgage loans other than those taken for first home purchases.</t>
  </si>
  <si>
    <t>http://www.finanssivalvonta.fi/en/Publications/Press_releases/Pages/08_2018.aspx</t>
  </si>
  <si>
    <t>FI.LTVR.923</t>
  </si>
  <si>
    <t>The Board of the Financial Supervisory Authority (FIN-FSA) will lower the loan cap for residential mortgage loans other than first-home loans by five percentage points, to the pre-pandemic level of 85%. The measure will be applicable starting from October 1 2021.</t>
  </si>
  <si>
    <t>https://www.finanssivalvonta.fi/en/publications-and-press-releases/Press-release/2021/macroprudential-decision-housing-loan-cap-for-residential-mortgage-loans-other-than-first-home-loans-to-be-set-at-85/</t>
  </si>
  <si>
    <t>FI.STTE.771</t>
  </si>
  <si>
    <t>2010</t>
  </si>
  <si>
    <t>Recommendation: stress test borrower to test his/her ability to service the debt if the mortgage rate would be 6% and have a maturity of 25 years; also takes into account housing company loans.</t>
  </si>
  <si>
    <t>FR.DSTI.902</t>
  </si>
  <si>
    <t>Credit institutions and financing companies are recommended to ensure that, for new RRE loans (excluding renegotiations, refinancing of outstanding housing loans and credit consolidation) i) DSTI does not exceed 35% and ii) loan maturity does not exceed 25 years. While the maximum amortization period is fixed at 25 years, a grace period of up to 2 additional years can be added to these 25-years maturity in cases when there is a lag between the disbursement of the loan and the date when it is possible to move in (the lag being related to construction or heavy renovation works). Exemption (flexibility margin) for up to 20% of the volume of total new loans (80% reserved for owner-occupied and 30% for FTB).</t>
  </si>
  <si>
    <t>FR.DSTI.773</t>
  </si>
  <si>
    <t>https://www.economie.gouv.fr/files/2021-01/HCSF_20210128_CP_recommandation.pdf</t>
  </si>
  <si>
    <t>FR.LMAT.909</t>
  </si>
  <si>
    <t>Credit institutions and financing companies are recommended to ensure that, for new RRE loans (excluding renegotiations, refinancing of outstanding housing loans and credit consolidation) i) DSTI does not exceed 35% and ii) loan maturity does not exceed 25 years. While the maximum amortization period is fixed at 25 years, a grace period of up to 2 additional years can be added to these 25-years maturity in cases when there is a lag between the disbursement of the loan and the date when it is possible to move in (the lag being related to construction or heavy renovation works).Exemption (flexibility margin) for up to 20% of the volume of total new loans (80% reserved for owner-occupied and 30% for FTB).</t>
  </si>
  <si>
    <t>FR.LMAT.772</t>
  </si>
  <si>
    <t>FR.LMAT.1354</t>
  </si>
  <si>
    <t>The Haut Conseil de Stabilité Financière adjusted the allocation within the total flexibility margin of 20% (70% reserved for owner-occupied and 30% for FTB) of its loan maturity measure. The maturity limit of 25 years, and a limit for the total maturity of the loan (the sum of the amortization and grace periods) of 27 years, remain unchanged.</t>
  </si>
  <si>
    <t>https://www.economie.gouv.fr/files/files/directions_services/hcsf/Decision_mesure_immobilier_2023-2.pdf?v=1690789101</t>
  </si>
  <si>
    <t>FR.DSTI.1353</t>
  </si>
  <si>
    <t>The Haut Conseil de Stabilité Financière adjusted the total flexibility margin of 20% (70% reserved for owner-occupied and 30% for FTB) of its DSTI measure. The DSTI limit of 35% remains unchanged.</t>
  </si>
  <si>
    <t>Recommendation on DSTI: limit of 33%. To be applied together with recommandation on maturity. With a (common) 15% exemption for new loans (3/4 for owner-occupied including FTB) as long as DTI&lt;7 for all banks</t>
  </si>
  <si>
    <t>https://www.economie.gouv.fr/files/files/directions_services/hcsf/HCSF20191212_Communique_de_presse.pdf</t>
  </si>
  <si>
    <t>Recommendation for maturity: limit of 25 years for all banks. To be applied together with recommandation on DSTI. With a  (common) 15% exemption for new loans (3/4 for owner-occupied including FTB) as long as DTI&lt;7 for all banks</t>
  </si>
  <si>
    <t>FR.LMAT.1014</t>
  </si>
  <si>
    <t>Haut Conseil de stabilité financière (HCSF) decided to convert its maturity limit of 25 years from recommendation to legally binding.</t>
  </si>
  <si>
    <t>https://www.economie.gouv.fr/files/files/directions_services/hcsf/D-HCSF-2021-7 sign%C3%A9e.pdf</t>
  </si>
  <si>
    <t>FR.DSTI.1013</t>
  </si>
  <si>
    <t>Haut Conseil de stabilité financière (HCSF) decided to convert its 35% DSTI limit from recommendation to legally binding measure with effects from 1 January 2022.</t>
  </si>
  <si>
    <t>FR.LMAT.1501</t>
  </si>
  <si>
    <t>In order to foster energy renovation work, the HCSF decided to lower the threshold for renovation work above which house buyers are allowed to defer their loan repayments to 10% of the total cost of the operation.</t>
  </si>
  <si>
    <t>https://www.economie.gouv.fr/files/files/directions_services/hcsf/231204HCSF_CP_en.pdf?v=1702575224</t>
  </si>
  <si>
    <t>FR.DSTI.1500</t>
  </si>
  <si>
    <t>(a) It specified that the flexibility granted to the ACPR at the June meeting, in terms of its assessment of compliance with the rule, applied to the allocation limits within the 20% flexibility margin as well as to the overall 20% margin. In the event of a limited breach in one quarter, the ACPR may consider that compliance with these limits for overall new lending for that quarter and the following two quarters constitutes appropriate and sufficient corrective action.
(b) The HCSF decided to allow credit institutions to exclude the interest payments on bridge loans when assessing the borrower's DSTI ratio, provided that the bridge loan’s loan-to-value ratio is sufficiently conservative, i.e. less than or equal to 80% of the value of the marketed property.</t>
  </si>
  <si>
    <t>GR.DSTI.1521</t>
  </si>
  <si>
    <t>Bank of Greece has activated a binding Debt-Service-to-Income (DSTI) ratio of 50% for first time buyers and of 40% for second and subsequent time buyers. Each quarter, 10% of the total number of new loans approved can be exempt.</t>
  </si>
  <si>
    <t>https://www.bankofgreece.gr/en/news-and-media/press-office/news-list/news?announcement=491c0d72-bc75-45a4-8fc2-6effd43c34c9</t>
  </si>
  <si>
    <t>GR.LTVR.1520</t>
  </si>
  <si>
    <t>Bank of Greece has activated a binding loan to value at origination (LTV-O) cap of 90% for first time buyers, and of 80% for second and subsequent time buyers. Each quarter, 10% of the total number of new loans approved can be exempt.</t>
  </si>
  <si>
    <t>HU.DSTI.1317</t>
  </si>
  <si>
    <t>The nominal income threshold, above which higher indebtness is allowed, is increased from HUF 500 000 to HUF 600 000 (approx. from EUR 1 350 to EUR 1 620). The regulation will not be applicable for the first loan of borrowers below HUF 450 000 (approx. from EUR 800 to EUR 1 200), compared to past HUF 300 000. Furthermore, once in three years, the credit line could be increased by the amount of 20 percent of the credit line or of HUF 300 00, whichever is the lowest. The nominal threshold for credit line increase will be raised to HUF 450 000.</t>
  </si>
  <si>
    <t>https://www.mnb.hu/sajtoszoba/sajtokozlemenyek/2023-evi-sajtokozlemenyek/tovabb-erositi-a-hitelpiac-egeszseges-hosszu-tavu-mukodeset-az-mnb ; https://njt.hu/jogszabaly/2014-32-20-2C</t>
  </si>
  <si>
    <t>HU.DSTI.108</t>
  </si>
  <si>
    <t>Amendment of the requirements related to debt-service-to-income (DSTI). Raising the de minimis limit on small loans from HUF 200,000 to HUF 300,000. Allow lenders to apply one credit line increase per year without checking DSTI ratios, subject to limits on the size of the increase. Differential treatment of mortgages with interest fixation periods of at least five years: monthly debt service of such loans has a lower weight when calculating the DSTI ratios for borrowers. Lastly, various technical amendments.</t>
  </si>
  <si>
    <t>HU.DSTI.109</t>
  </si>
  <si>
    <t>http://www.mnb.hu/en/pressroom/press-releases/press-releases-2016/the-mnb-revised-the-debt-cap-rules-with-the-aim-of-supporting-responsible-lending</t>
  </si>
  <si>
    <t>DSTI (Debt-service-to-income) limits, going from 10% to 60% covering all types of credit and loan operations. The limits are differentiated according to the currency of the loan (HUF, EUR, other currencies) and the net income of the borrower (&lt;=, &gt; HUF 400,000). De minimis exception for very small loans. (32/2014. (IX. 10.) MNB Decree).</t>
  </si>
  <si>
    <t>https://www.mnb.hu/en/pressroom/press-releases/press-releases-2014/upper-limit-on-the-payment-to-income-ratio-protects-households-as-a-debt-cap</t>
  </si>
  <si>
    <t>HU.LTVR.1509</t>
  </si>
  <si>
    <t>The MNB introduces higher, 90 percent LTV limits for First-time buyer (FTB) borrowers for HUF loans secured by a mortgage on real estate as collateral and for HUF financial leases (for other borrowers is still 80% for HUF loans secured by a mortgage on real estate as collateral and 85% for HUF financial leases).</t>
  </si>
  <si>
    <t>HU.LTVR.302</t>
  </si>
  <si>
    <t>https://www.mnb.hu/en/pressroom/press-releases/press-releases-2023/mnb-supports-housing-loan-opportunities-of-young-first-time-home-buyers-with-lower-down-payment-requirements</t>
  </si>
  <si>
    <t>HU.DSTI.522</t>
  </si>
  <si>
    <t>Debt-service-to-income (DSTI) ratio limits are amended, and now range from 25% to 60% during the phase-in period (1 Oct. 2018 - 30 June 2019). From 1 July 2019, the limits will range from 25% to 60%, although the income threshold will now be higher (500,000 HUF) as opposed to the phase-in period (400,000 HUF). The DSTI ratio limits also depends on the length of the fixation of interest rates, i.e. floating/fixed for &lt; 5 years; at least 5 years but &lt; 10 years; and, at least 10 years or fixed for the entire term of the loan. The DSTI limits increase over with income and the length of fixation of interest rates.
Additionally, the limits will depend on the the currency. For EUR, the range is 15% to 30%. For other FX, the range is 5% to 15%. Both ranges depend on the interest rate fixation period and the income of the borrower.</t>
  </si>
  <si>
    <t>HU.LTVR.1067</t>
  </si>
  <si>
    <t>Amendment of the requirements related to loan to value (LTV).Raising the de minimis limit on small loans from HUF 200,000 to HUF 300,000.</t>
  </si>
  <si>
    <t>LTV limits for new mortgage loans, going from 35% to 80%.  LTV limits for new vehicle loans, going from 30% to 75%. Limites are differentiated according to currency of loan (HUF, EUR, other currencies).  (32/2014. (IX. 10.) MNB Decree).</t>
  </si>
  <si>
    <t>HU.LTVR.1670</t>
  </si>
  <si>
    <t>The MNB increased the Loan to value ratio (LTV) limit to 90% in the case of “green” HUF mortgage loans, the interest rate of which is fixed for at least 10 years and that meet the conditions for green collateral and loan purposes (purchase and construction of energy-efficient apartments, as well as efficiency-enhancing renovations)</t>
  </si>
  <si>
    <t>https://www.mnb.hu/en/pressroom/press-releases/press-releases-2024/mnb-strengthens-green-lending-by-amending-borrower-based-measures-and-certified-consumer-friendly-framework</t>
  </si>
  <si>
    <t>HU.DSTI.1669</t>
  </si>
  <si>
    <t>The MNB increased the debt service-to-income ratio (DSTI) limit to 60% in the case of “green” HUF mortgage loans, the interest rate of which is fixed for at least 10 years and that meet the conditions for green collateral and loan purposes (purchase and construction of energy-efficient apartments, as well as efficiency-enhancing renovations)</t>
  </si>
  <si>
    <t>https://www.mnb.hu/en/pressroom/press-releases/pressreleases-2024/mnb-strengthens-green-lending-by-amendingborrower-based-measures-and-certified-consumer-friendlyframework</t>
  </si>
  <si>
    <t>HU.LTVR.704</t>
  </si>
  <si>
    <t>Amendment to the Borrower-based measures Regulation clarifying how the new so-called child support loan applicable from 1 of July should be taken into account during the application of the LTV ratio. It states that 25 percent of the child support loans that are used for the purchase of the same house at most 90 days before taking a housing loan shall be taken into account as loan exposure while calculating the loan-to-value ratio for the housing loan, while 75 percent of the child support loan can be considered as down payment.</t>
  </si>
  <si>
    <t>IS.LTVR.1115</t>
  </si>
  <si>
    <t>Rules on maximum LTV:
•	Maximum LTV for first-time buyers decreased from 90% to 85%.
•	Maximum LTV for other buyers maintained at 80%.</t>
  </si>
  <si>
    <t>IS.DSTI.1114</t>
  </si>
  <si>
    <t>The maximum Debt-Service-to-Income limit of 35% applies to all new mortgage lending to consumers. In case of first-time buyers, the maximum limit is 40%. For the interest rate, the higher of contractual interest rates or a reference interest rate of 3% for indexed mortgages and 5.5% for non-indexed mortgages should be used. For the maturity, the maximum maturity is 25 years for indexed mortgage loans and 40 years for non-indexed mortgage loans. The lender is authorised to use an annuity mortgage amortisation schedule for both indexed and non-indexed mortgage loans. The DSTI rules provide for a flexibility quota of 5% of the volume of new mortgages each quarter that are exempt from the rules. Refinancing of mortgage loans due to payment difficulties of the consumer is exempt from the DSTI rules.</t>
  </si>
  <si>
    <t>IS.DSTI.983</t>
  </si>
  <si>
    <t>Maximum Debt-Service-to-Income limit of 35% applies to all new mortgage lending to consumers. In case of First-time buyers the maximum limit is 40%. The debt service includes all payments of principal and interest of all mortgage loans of the consumer. Income of the consumer is defined as long term sustainable income net of taxes, pension contributions and other deductions.
When calculating the debt-service a maximum maturity of 40 years is allowed for non-indexed mortgages and 30 years for indexed mortgages, irrespective of the actual maturity of the mortgage. The rules provide for a flexibility quota of 5% of the volume of new mortgages each quarter that are exempt from the rules. Refinancing of mortgage loans due to payment difficulties of the consumer is exempt from the rules. The measure applies to all mortgage lenders in Iceland, including banks, pension funds, the Housing and Construction Authority and other registered lenders.</t>
  </si>
  <si>
    <t>https://www.cb.is/publications/news/news/2021/09/29/Statement-of-the-Financial-Stability-Committee-29-September-2021/</t>
  </si>
  <si>
    <t>IS.LTVR.924</t>
  </si>
  <si>
    <t>The maximum loan-to-value ratio for consumer mortgages has been lowered from 85% to 80%. The LTV limit for first time buyer is unchanged at 90%.</t>
  </si>
  <si>
    <t>IS.LTVR.377</t>
  </si>
  <si>
    <t>https://www.cb.is/publications/news/news/2021/06/30/Statement-of-the-Financial-Stability-Committee-30-June-2021/</t>
  </si>
  <si>
    <t>Regulation on requirements for new residential mortgage loans. The regulation contains a LTV cap on new residential mortgage loans to consumers with a 85% LTV limit (90% for first time buyers).</t>
  </si>
  <si>
    <t>IE.STTE.124</t>
  </si>
  <si>
    <t>2012</t>
  </si>
  <si>
    <t>Lenders must assess whether borrowers can still afford their mortgage loans on the basis of a minimum 2% interest rate increase above the offered rate.</t>
  </si>
  <si>
    <t>http://www.centralbank.ie/regulation/processes/consumer-protection-code/documents/consumer%20protection%20code%202012.pdf</t>
  </si>
  <si>
    <t>IE.LTVR.120</t>
  </si>
  <si>
    <t>Proportionate LTV limits of: 80% for non-first time buyers (FTBs); 90% for FTBs of properties up to €220,000; a sliding LTV limit based on property value for FTBs over €220,000. To be exceed by no more than 15% of the value of new lending for primary home.
For so-called “buy to let” (BTL) property, i.e. property that is purchased for investment purposes by renting it out, banks are required to limit new loans with LTV of greater than 70% to 10% of the aggregate value of all new BTL loans issued over a six monthly period.</t>
  </si>
  <si>
    <t>http://www.irishstatutebook.ie/eli/2015/si/47/ AND http://www.irishstatutebook.ie/eli/2019/si/369/made/en/pdf</t>
  </si>
  <si>
    <t>IE.LTIR.119</t>
  </si>
  <si>
    <t>Proportionate LTI limit: new housing loans with LTI greater than 3.5 should not be more than 20% of aggregate value new housing loans.</t>
  </si>
  <si>
    <t>IE.LTIR.1289</t>
  </si>
  <si>
    <t>Change to existing LTI measures: LTI limit for FTBs increased from 3.5 to 4 times income (LTI limit for second and subsequent buyers unchanged at 3.5 times income).  Proportionate allowances: 
o The proportion of lending allowed above the limits will now apply at the level of the borrower type (e.g. FTB) rather than the individual limit (e.g. FTB LTI).
• 15 per cent of FTB lending can take place above the limits.
• 15 per cent of SSB lending can to take place above the limits. 
• 10 per cent of BTL lending can take place above the limits.</t>
  </si>
  <si>
    <t>https://www.irishstatutebook.ie/eli/2022/si/546/made/en/pdf</t>
  </si>
  <si>
    <t>IE.LTVR.1290</t>
  </si>
  <si>
    <t>Change to existing LTV measures: LTV limit for SSBs is being increased from 80 per cent to 90 per cent (LTV limit for FTB and BTL mortgages remains unchanged at 90 per cent and 70 per cent respectively).  Proportionate allowances: 
The proportion of lending allowed above the limits will now apply at the level of the borrower type (e.g. FTB) rather than the individual limit (e.g. FTB LTI).
• 15 per cent of FTB lending can take place above the limits.
• 15 per cent of SSB lending can to take place above the limits. 
• 10 per cent of BTL lending can take place above the limits.</t>
  </si>
  <si>
    <t>IE.LTVR.390</t>
  </si>
  <si>
    <t>Following an extensive review of the mortgage measures in Ireland in 2016, a number of refinements to improve the sustainability and effectiveness of the current framework were identified and implemented. The ceiling on the LTV ratio for all first-time buyers is now set at 90% therefore the sliding limit based on the property value was removed.</t>
  </si>
  <si>
    <t>http://www.irishstatutebook.ie/eli/2016/si/568/</t>
  </si>
  <si>
    <t>IE.LTIR.430</t>
  </si>
  <si>
    <t>Revision of exisiting  loan-to-income (LTI) measures. Permitting a proportion of mortgage lending above the LTI limit to be considered separately for first-time-buyers (FTBs) and second and subsequent buyers (SSBs). The revision allows for 20 per cent of the value of new mortgage lending to FTBs to be above the LTI cap (of 3.5 gross income) and 10 per cent of the value of new mortgage lending to SSBs to be above the 3.5 LTI cap.  Up to end-2017, the LTI allowance had been set at 20 per cent of the combined value of FTB and SSB lending.
On the 20/06/2019 a minor revision to the Regulations was approved, exempting lifetime mortgages from the LTI ratio with effect from 20/06/2019.</t>
  </si>
  <si>
    <t>http://www.irishstatutebook.ie/eli/2017/si/559/made/en/print?q=559&amp;years=2017</t>
  </si>
  <si>
    <t>IE.LTVR.431</t>
  </si>
  <si>
    <t>Clarification is provided on the collateral valuation for construction-related mortgage lending (e.g. financing of renovations). At the time of entering a loan agreement, when calculating the value of the collateral, lenders will be required to take the lower of; the estimated market value of the property after completion of all works, or; the sum of the site cost plus the cost of work, as estimated at the time of entering into the loan agreement.</t>
  </si>
  <si>
    <t>LV.LTVR.900</t>
  </si>
  <si>
    <t>Institutions shall develop the policy and set out respective procedures for the issuance of loans for the purchase of a property for a purpose of renting it out (buy-to-let, BTL) or otherwise deriving income from real estate transactions by the borrower. The loan amount in such cases may not exceed 70 percent of the market value of the loan collateral (real estate), and in the creditworthiness assessment income from the real estate shall not account for more than 70 percent of the total income. Also institutions shall assess the extent to which the risk of the borrower depends on the declared income generated by the real estate (e.g. rental or other comparable income arising from the real estate transactions by the borrower), and on the ability of the borrower to repay debt from other sources. If the declared income in the creditworthiness assessment from the borrowers’ actions relating to real estate exceeds 20 percent of the total income and the amount of the loan for which the borrower has applied for exceeds 70 percent of the market value of the loan collateral (real estate), the creditworthiness is to be assessed as insufficient.</t>
  </si>
  <si>
    <t>LV.LTVR.126</t>
  </si>
  <si>
    <t>LV.LMAT.786</t>
  </si>
  <si>
    <t>The institution shall also set a maximum allowed maturity for different types of loans (excl. overdrafts). The maximum repayment term of a mortgage loan to a natural person must not exceed 30 years, while that of a consumer loan (including financial leasing transactions) - 7 years.
Institutions can employ exemption in cases where the creditworthiness of the borrower is assessed to be sufficient despite the DSTI or DTI being above the limits prescribed. In a similar manner, institutions can also apply an exemption to the maximum maturity limits. Such exemptions may not exceed 10 percent of the institution’s total outstanding amount of newly issued loans to households on a quarterly basis.</t>
  </si>
  <si>
    <t>LV.DETI.785</t>
  </si>
  <si>
    <t>The highest allowed DTI ratio is set at 6 for both RRE and Consumer Loans
Debt (D) is all debt obligations of the borrower (to financial institutions and as far as feasible to obtain such data also to non-financial institutions – i.e. unpaid utility bills, prospective alimony debt payments, etc.), including the loan to which the borrower has applied to, and also granted but not yet used excess loans, but excluding debt obligations that would be paid off as a result of the planned granting of credit.  
Income (I) is the average monthly income calculated according to the requirements for DSTI multiplied by 12.
If the DSTI exceeds 40 percent and the DTI exceeds ratio of 6 then the creditworthiness of the borrower shall be assessed as insufficient, and the loan shall not be issued. Institutions can employ exemption in cases where the creditworthiness of the borrower is assessed to be sufficient despite the DSTI or DTI being above the limits prescribed. In a similar manner, institutions can also apply an exemption to the maximum maturity limits. Such exemptions may not exceed 10 percent of the institution’s total outstanding amount of newly issued loans to households on a quarterly basis. The institution must be able to explain the reasoning behind their decision.</t>
  </si>
  <si>
    <t>LV.DSTI.784</t>
  </si>
  <si>
    <t>The highest allowed DSTI ratio for housing and consumer loans is set at 40%.
Debt-service (DS) is the total monthly aggregate of credit payments to financial institutions which includes amortisation of all borrowers debt obligations, including overdraft credits granted and not yet used (e.g. revolving loans, credit lines and payment card credits, or similar products whose issuance and repayment (i) are not covered by specific pre-agreed schedule, and (ii) is possible within a limited period of contract), but except debt obligations that would be covered (paid off) as a result of the planned granting of credit.  
Income (I) is the documented and verifiable average monthly income of the borrower after tax and other compulsory national and social payments that the institution recognizes as recurrent based on available last six-month income data of the borrower. If the income of last six months does not reflect the borrower's regular income, with appropriate justification a longer period of time shall be used.
If the DSTI exceeds 40 percent and the DTI exceeds ratio of 6 then the creditworthiness of the borrower shall be assessed as insufficient, and the loan shall not be issued. Institutions can employ exemption in cases where the creditworthiness of the borrower is assessed to be sufficient despite the DSTI or DTI being above the limits prescribed. In a similar manner, institutions can also apply an exemption to the maximum maturity limits. Such exemptions may not exceed 10 percent of the institution’s total outstanding amount of newly issued loans to households on a quarterly basis. The institution must be able to explain the reasoning behind their decision.</t>
  </si>
  <si>
    <t>LV.LTVR.1498</t>
  </si>
  <si>
    <t>(1) 70% LTV requirement for the BTL (or otherwise deriving income from real estate transactions by the borrower) housing loans is included in the scope of the BBMs to which 10 % tolerance margin is applicable. 
(2) 70% LTV requirement for housing loans, if the borrower's income from real estate exceeds 20% of the total income, is revoked. Instead, a qualitative principle-based requirements is in place to apply prudent LTV for such borrowers.
(3) The requirement stating that up to 70% of borrower’s income generated from the operations with real estate can be accounted for in the creditworthiness assessment of the borrower is revoked and changed to qualitative principle-based requirement to treat this kind of borrower’s income prudently.
Please note that amendments (1), (2) and (3) are essentially a revision of already existing measures in order to make them more flexible. The existing 70 % LTV for loans to natural persons that derives income from real estate transactions (including BTL) remains in place.</t>
  </si>
  <si>
    <t>https://www.vestnesis.lv/op/2023/248.34
https://www.bank.lv/en/operational-areas/financial-stability/macroprudential-measures-introduced-in-latvia/borrower-based-measures</t>
  </si>
  <si>
    <t>LV.DETI.1497</t>
  </si>
  <si>
    <t>A differentiated (alleviated) 8 times DTI limit is introduced in addition to the already existing 6 times DTI limit and is applicable to the mortgage loans for obtaining energy efficient housing with the Energy Efficiency Certificates (hereinafter – EEC) of classes A+, A, B or C. The alleviated DSTI limit are included in the scope of the tolerance margin – 10% of the newly issued loans to borrowers’ in one quarter may exceed (sum of) DSTI, DTI, loan maturity and LTV limit for buy-to-let loans.</t>
  </si>
  <si>
    <t>LV.DSTI.1496</t>
  </si>
  <si>
    <t>A differentiated (alleviated) 45% DSTI limit is introduced in addition to the already existing 40% DSTI limit and is applicable to the mortgage loans for obtaining energy efficient housing with the Energy Efficiency Certificates of classes A+, A, B or C. The alleviated DSTI limit are included in the scope of the tolerance margin – 10% of the newly issued loans to borrowers’ in one quarter may exceed (sum of) DSTI, DTI, loan maturity and LTV limit for buy-to-let loans.</t>
  </si>
  <si>
    <t>LV.DSTI.1073</t>
  </si>
  <si>
    <t>The highest allowed DSTI ratio for housing and consumer loans is set at 40%.
Debt-service (DS) is the total monthly aggregate of credit payments to financial institutions which includes amortisation of all borrowers debt obligations, including overdraft credits granted and not yet used (e.g. revolving loans, credit lines and payment card credits, or similar products whose issuance and repayment (i) are not covered by specific pre-agreed schedule, and (ii) is possible within a limited period of contract), but except debt obligations that would be covered (paid off) as a result of the planned granting of credit.  
Income (I) is the documented and verifiable average monthly income of the borrower after tax and other compulsory national and social payments that the institution recognizes as recurrent based on available last six-month income data of the borrower. If the income of last six months does not reflect the borrower's regular income, with appropriate justification a longer period of time shall be used.
If the DSTI exceeds 40 percent and the DTI exceeds ratio of 6 then the creditworthiness of the borrower shall be assessed as insufficient, and the loan shall not be issued. Institutions can employ exemption in cases where the creditworthiness of the borrower is assessed to be sufficient despite the DSTI or DTI being above the limits prescribed. In a similar manner, institutions can also apply an exemption to the maximum maturity limits. Such exemptions may not exceed 10 percent of the institution’s total outstanding amount of newly issued loans to households on a quarterly basis. The institution must be able to explain the reasoning behind their decision. 
Amendment of previous measure (LV.DSTI.784) to include in the scope also credit institutions that offer financial services in Latvia via branch (Freedom of Establishment) and direct cross-border (Freedom to Provide Services).</t>
  </si>
  <si>
    <t>https://www.bank.lv/en/operational-areas/financial-stability/macroprudential-measures-introduced-in-latvia/borrower-based-measures</t>
  </si>
  <si>
    <t>LV.DETI.1074</t>
  </si>
  <si>
    <t>The highest allowed DTI ratio is set at 6 for both RRE and Consumer Loans
Debt (D) is all debt obligations of the borrower (to financial institutions and as far as feasible to obtain such data also to non-financial institutions – i.e. unpaid utility bills, prospective alimony debt payments, etc.), including the loan to which the borrower has applied to, and also granted but not yet used excess loans, but excluding debt obligations that would be paid off as a result of the planned granting of credit.  
Income (I) is the average monthly income calculated according to the requirements for DSTI multiplied by 12.
If the DSTI exceeds 40 percent and the DTI exceeds ratio of 6 then the creditworthiness of the borrower shall be assessed as insufficient, and the loan shall not be issued. Institutions can employ exemption in cases where the creditworthiness of the borrower is assessed to be sufficient despite the DSTI or DTI being above the limits prescribed. In a similar manner, institutions can also apply an exemption to the maximum maturity limits. Such exemptions may not exceed 10 percent of the institution’s total outstanding amount of newly issued loans to households on a quarterly basis. The institution must be able to explain the reasoning behind their decision. 
Amendment of previous measure (LV.DETI.785) to include in the scope also credit institutions that offer financial services in Latvia via branch (Freedom of Establishment) and direct cross-border (Freedom to Provide Services).</t>
  </si>
  <si>
    <t>LV.LMAT.1075</t>
  </si>
  <si>
    <t>The institution shall also set a maximum allowed maturity for different types of loans (excl. overdrafts). The maximum repayment term of a mortgage loan to a natural person must not exceed 30 years, while that of a consumer loan (including financial leasing transactions) - 7 years.
Institutions can employ exemption in cases where the creditworthiness of the borrower is assessed to be sufficient despite the DSTI or DTI being above the limits prescribed. In a similar manner, institutions can also apply an exemption to the maximum maturity limits. Such exemptions may not exceed 10 percent of the institution’s total outstanding amount of newly issued loans to households on a quarterly basis. 
Amendment of previous measure (LV.LMAT.786) to include in the scope also credit institutions that offer financial services in Latvia via branch (Freedom of Establishment) and direct cross-border (Freedom to Provide Services).</t>
  </si>
  <si>
    <t>LV.LTVR.1076</t>
  </si>
  <si>
    <t>Institutions shall develop the policy and set out respective procedures for the issuance of loans for the purchase of a property for a purpose of renting it out (buy-to-let, BTL) or otherwise deriving income from real estate transactions by the borrower. The loan amount in such cases may not exceed 70 percent of the market value of the loan collateral (real estate), and in the creditworthiness assessment income from the real estate shall not account for more than 70 percent of the total income. Also institutions shall assess the extent to which the risk of the borrower depends on the declared income generated by the real estate (e.g. rental or other comparable income arising from the real estate transactions by the borrower), and on the ability of the borrower to repay debt from other sources. If the declared income in the creditworthiness assessment from the borrowers’ actions relating to real estate exceeds 20 percent of the total income and the amount of the loan for which the borrower has applied for exceeds 70 percent of the market value of the loan collateral (real estate), the creditworthiness is to be assessed as insufficient. 
Amendment of previous measure (LV.LTVR.900) to include in the scope also credit institutions that offer financial services in Latvia via branch (Freedom of Establishment) and direct cross-border (Freedom to Provide Services).</t>
  </si>
  <si>
    <t>LV.LTVR.125</t>
  </si>
  <si>
    <t>LTV cap of 90% for residential mortgage lending.  The LTV requirement is set in the Law on Consumers Rights' Protection, but Latvijas Banka can issue a recommendation on the appropriate LTV level. 
Amendment of previous measure (LV-LTVR-2007(126)) to include additional LTV cap of 95% for loans supported by a state guarantee under the Law on Assistance in Resolution of Dwelling Issues.</t>
  </si>
  <si>
    <t>2007</t>
  </si>
  <si>
    <t>LTV cap of 90% for residential mortgage lending.  The LTV requirement is set in the Law on Consumers Rights' Protection, but Latvijas Banka can issue a recommendation on the appropriate LTV level.</t>
  </si>
  <si>
    <t>LI.LAMO.620</t>
  </si>
  <si>
    <t>According to the regulation on requirements for mortgage loans applicable to home loans and loans on income property, the mortgage has to be amortized so that the loan-to-value (LTV) ratio falls below two thirds within 20 years.</t>
  </si>
  <si>
    <t>LI.LTVR.452</t>
  </si>
  <si>
    <t>At mortgage origination or if a mortgage is expanded, the loan-to-value ratio (LTV) must not exceed 80%. A higher LTV ratio is possible in exceptional cases, but such a loan has to be qualified as "exception to policy".</t>
  </si>
  <si>
    <t>LI.LAMO.1400</t>
  </si>
  <si>
    <t>The Financial Market Authority has decided to implement an amortisation requirement based on affordability with affordability being defined as a loan-service-to-income ratio below 33% for new residential real estate loans (RRE) and 37% for existing RRE loans. Loans not meeting these criteria should apply a minimum annual amortisation of 1% until the loan classifies as affordable.</t>
  </si>
  <si>
    <t>https://www.fma-li.li/en/supervision/financial-stability-and-macroprudential-supervision/macroprudential-instruments/sustainable-real-estate-financing.html</t>
  </si>
  <si>
    <t>LI.LAMO.1398</t>
  </si>
  <si>
    <t>The Financial Market Authority has decided to implement an adjustment of the amortisation period for mortgages with high LTV ratios. The amortisation is lowered from 20 years to 15 years for the amount of the loan exceeding an LTV ratio of 66% with a minimum annual amortisation of 1% of the loan amount.</t>
  </si>
  <si>
    <t>LT.DSTI.129</t>
  </si>
  <si>
    <t>2011</t>
  </si>
  <si>
    <t>DSTI of not more than 40% of borrower's net income.
On 28 May 2015 the Bank of Lithuania adopted the amendment to the Responsible Lending Regulations confirming the DSTI measure, effective from 1 November 2015.</t>
  </si>
  <si>
    <t>https://www.e-tar.lt/portal/lt/legalAct/TAR.A91F08A407C5</t>
  </si>
  <si>
    <t>LT.LMAT.132</t>
  </si>
  <si>
    <t>Maturity of new housing loans should not be more than 40 years.</t>
  </si>
  <si>
    <t>On 28 May 2015 the Bank of Lithuania adopted an amendment to the Responsible Lending Regulations reducing the maturity of new housing loans to 30 years.</t>
  </si>
  <si>
    <t>LT.DSTI.1068</t>
  </si>
  <si>
    <t>Amendments to existing regulations: wider application of the borrower-based measures, which currently apply not only to mortgages issued by credit institutions, but also loans for house purchase or loans with RE collateral granted by other credit providers. Lending standards (including the requirement to calculate LTV and DSTI are also applied to natural persons who are carrying out construction or lease activities for business purposes. Also, lending standards applied for all types of household loans preventing excessive provision of unsecured loans to households.</t>
  </si>
  <si>
    <t>https://www.e-tar.lt/portal/en/legalAct/aec51df0e2e911e68503b67e3b82e8bd</t>
  </si>
  <si>
    <t>LT.LTVR.392</t>
  </si>
  <si>
    <t>LT.LTVR.133</t>
  </si>
  <si>
    <t>LTV of new housing loans cannot be more than 85%.</t>
  </si>
  <si>
    <t>LT.LTVR.1217</t>
  </si>
  <si>
    <t>Introduction of LTV limit for second and susequent mortgage loans for natural persons:
 -  70%;
 -  less that 85% (i.e. unchanged) if the outstanding amount of each previous mortgage loan is lower than 50% of the value of housing purchased using that loan.</t>
  </si>
  <si>
    <t>https://www.lb.lt/en/news/bank-of-lithuania-takes-measures-to-prevent-the-heating-up-of-the-real-estate-market</t>
  </si>
  <si>
    <t>LT.LMAT.192</t>
  </si>
  <si>
    <t>Maturity of new housing loans should not be more than 30 years.</t>
  </si>
  <si>
    <t>http://www.lb.lt/uploads/documents/files/musu-veikla/Finansinis-stabilumas/responsible_lending_regulations.pdf</t>
  </si>
  <si>
    <t>LT.DSTI.214</t>
  </si>
  <si>
    <t>Amendments to previously introduced measure (DSTI of not more than 40% of borrower's net income): 
1) introduction of stress DSTI limit of 50% (alongside the usual 40% limit) with the 5% interest rate used in the stress testing. 
2) A credit provider can apply a DSTI of more than 40% of the borrower's income, but overall capped at 60%, for the amount of housing loans that is not higher than 5% of the total value of new housing loans granted by that credit provider during the calendar year.</t>
  </si>
  <si>
    <t>LU.LTVR.856</t>
  </si>
  <si>
    <t>The measure comprises the activation of legally binding LTV limits for new mortgage loans on residential immovable property located in Luxembourg. The measure applies to all lenders in residential real estate. Following the Recommendation of the Systemic Risk Committee (CRS/2020/005), the CSSF activated LTV limits that are differentiated across different categories of borrowers. Three categories are considered, with the following calibration:
- LTV limit of 100% for first-time buyers acquiring their primary residence;
- LTV limit of 90% for other buyers (i.e. not first-time buyers) acquiring their primary residence. This limit is implemented in a proportional way via a portfolio allowance. Specifically, lenders may issue 15% of the annual portfolio of new mortgages granted to these borrowers with an LTV above 90% but below the maximum LTV of 100%.
- LTV limit of 80% for other mortgage loans (including the buy-to-let segment).
The LTV limits also apply in cases the RRE loan was contracted by a legal structure such as a "société civile immobilière" (SCI - real-estate company constituted under civil law).</t>
  </si>
  <si>
    <t>http://cdrs.lu/wp-content/uploads/2020/11/CRS-2020-005_Recommandation-du-CdRS-du-9-novembre-2020.pdf
http://legilux.public.lu//eli/etat/leg/rcsf/2020/12/03/a969/jo</t>
  </si>
  <si>
    <t>ESRB/2021/2</t>
  </si>
  <si>
    <t>MT.LMAT.652</t>
  </si>
  <si>
    <t>Maturity caps applied for all new RRE loans differentiating between two categories of borrowers. For Category I Borrowers, 40 years maturity cap or the official retirement age – whichever occurs first.  For Category II borrowers, 25 years maturity cap or the official retirement age – whichever occurs first.
Update 29/11/2021: Without prejudice to the Lenders’ internal policies, and notwithstanding the maturity limits set out, a Loan may exceptionally mature beyond a Borrower’s retirement age, when:
a. The Borrower submits evidence to the Lender of stable income from employment or other own sources of income;
b. The Lender conducts an assessment on whether the aforementioned income is to subsist throughout the duration of the loan; and
c. All the other conditions of this Directive are met.</t>
  </si>
  <si>
    <t>National Directive</t>
  </si>
  <si>
    <t>https://www.centralbankmalta.org/site/About-Us/Legislation/Directive-16-2021.pdf?revcount=814</t>
  </si>
  <si>
    <t>MT.LTVR.651</t>
  </si>
  <si>
    <t>Loan-to-value-at-origination (LTV-O) applied differentiating between two categories of borrowers. For Category I Borrowers: (i) if the collateral market value is below EUR175,000 (excluding haircuts) loans are exempted from the LTV-O limits ; (ii) if the collateral market value is exceeding EUR175,000, a cap of 90% LTV-O with a ‘speed limit’ of 10% on the volume of loans shall apply. For Category II borrowers, the LTV-O ratio shall not exceed  75% LTV-O cap with a ‘speed limit’ of 20% on the volume of loans.</t>
  </si>
  <si>
    <t>MT.DSTI.645</t>
  </si>
  <si>
    <t>The stressed Debt-Service-to-Income ratio at origination (sDSTI-O) is set at 40% for both categories of borrowers, following a shock to interest rates of 150 bps. Category I Borrowers with a collateral market value below EUR 175,000 are exempted from the sDSTI-O limit. 
Update 29/11/2021: Category I Borrowers comprises first-time buyers (FTBs) and non-FTBs purchasing, constructing, restoring, improving and/or finishing their primary residence not having outstanding residential real-estate (RRE) loans upon the signing of the deed. It includes borrowers who already own or have owned a primary residence and at the origination of the mortgage loan the pre-exisitng primary residence has either been sold or a promise of sale agreement (“konvenju”) has been entered into; or there are pending proceedings before the Civil Court which hinder the sale of the primary residence. Provided that, any other additional RRE loans on the same Primary Residence with an outstanding RRE loan, solely for the purpose of constructing, restoring, improving and/or finishing the Primary Residence and save for additional Independent Units, would also fall under the definition of Category I Borrowers of this Directive, on condition that there are no outstanding loans which fall under the definition of Category II Borrowers; Provided further that the conditions stipulated under this paragraph shall also apply to a Remortgage Loan. Category II borrowers includes any other loans for the purchase, construction, restoration, improvement and/or finishing of  an RRE excluding Category I Borrowers. The measure applies to all lenders granting domestic RRE loans. It is targeted to both resident and non-resident borrowers entering into new RRE loans for property within the Maltese territory secured by RRE.The stressed DSTI-O shall be calculated as follows: DSTI-O stressed=(Annual Repayment|Δrstressed)/Gross Income with Δrstressed= +150 bp.</t>
  </si>
  <si>
    <t>NL.LTVR.141</t>
  </si>
  <si>
    <t>LTV limit for new mortgage loans decreases stepwise 1 percentage point per annum from 106% in 2012 to 100% in 2018.</t>
  </si>
  <si>
    <t>http://www.rijksoverheid.nl/onderwerpen/koopwoning/nieuwe-regels-hypotheek</t>
  </si>
  <si>
    <t>NL.LMAT.140</t>
  </si>
  <si>
    <t>New mortgage loans are only tax deductible when they are amortised within 30 years.</t>
  </si>
  <si>
    <t>NO.LTVR.1695</t>
  </si>
  <si>
    <t>LTV is capped at 90%, additional collateral is accepted.</t>
  </si>
  <si>
    <t>NO.LTVR.146</t>
  </si>
  <si>
    <t>https://www.regjeringen.no/en/aktuelt/amendments-to-the-lending-regulation/id3077641/</t>
  </si>
  <si>
    <t>NO.STTE.1696</t>
  </si>
  <si>
    <t>When assessing a customer’s debt-service ability lenders must ensure that the customer have sufficient funds to cover regular expenses after an interest rate increase of 3 percentage points. With fixed interest rate, the stress test applies to 
remaining debt according to the down-payment plan at 
the end of the fixed interest rate period, expected growth 
in income and costs may be taken into account.</t>
  </si>
  <si>
    <t>NO.STTE.395</t>
  </si>
  <si>
    <t>NO.LTVR.216</t>
  </si>
  <si>
    <t>The LTV-ratio for residential mortgage loans is capped at 85% (70% for home equity lines of credit). 10% of the volume of a lender's approved loans per quarter are allowed not to meet the regulatory requirements.</t>
  </si>
  <si>
    <t>The regulation applied from 1 July 2015 to 31 December 2016. It was subsequently replaced.</t>
  </si>
  <si>
    <t>https://www.regjeringen.no/en/aktuelt/regulation-on-requirements-for-residential-mortgage-loans/id2417372/</t>
  </si>
  <si>
    <t>NO.LAMO.217</t>
  </si>
  <si>
    <t>Residential mortgage loans with an LTV greater than 70% need to be amortised at a rate of 2,5% per annum or equivalent to an annuity loan with a 30 year repayment period.  10% of the volume of a lender's approved loans per quarter are allowed not to meet the regulatory requirements.</t>
  </si>
  <si>
    <t>NO.LAMO.394</t>
  </si>
  <si>
    <t>NO.FLEX.1299</t>
  </si>
  <si>
    <t>10% of the new mortgage loans volume per quarter outside Oslo is allowed not to meet the regulatory requirements; in Oslo, the limit is 8%; for consumer loans the limit is 5%; for other loans the limit is 10%.</t>
  </si>
  <si>
    <t>NO.FLEX.801</t>
  </si>
  <si>
    <t>https://www.regjeringen.no/en/aktuelt/amendments-to-the-lending-regulation/id2950504/</t>
  </si>
  <si>
    <t>NO.LTVR.1298</t>
  </si>
  <si>
    <t>LTV is capped at 85%, additional collateral is accepted.</t>
  </si>
  <si>
    <t>NO.STTE.1294</t>
  </si>
  <si>
    <t>When assessing a customer’s debt-service ability lenders must ensure that the customer have sufficient funds to cover regular expenses after an interest rate increase of 3 percentage points. At a minimum the customer must be able to be to cover regular expenses if the interest rate was 7 percent. Lenders may deviate from the debt-to-income requirement and stress test when issuing a residential mortgage loan where the purpose of the loan is to restructure existing debt held by borrowers that are not able to service the debt.</t>
  </si>
  <si>
    <t>NO.DETI.340</t>
  </si>
  <si>
    <t>Total debt may not exceed five times gross annual income. 10% of the mortgage volume per quarter is allowed not to meet the regulatory requirements, the limit is 8% for mortgages in Oslo.</t>
  </si>
  <si>
    <t>The regulation on requirements for new residential mortgage loans was renewed and continues to be applicable from 1 July 2018.</t>
  </si>
  <si>
    <t>https://www.regjeringen.no/en/aktuelt/new-regulation-on-requirements-for-residential-mortgage-loans/id2523967/</t>
  </si>
  <si>
    <t>NO.LTVR.341</t>
  </si>
  <si>
    <t>The LTV-ratio for residential mortgage loans is capped at 85% (60% for home equity lines of credit). The cap is 60% for secondary homes in Oslo. Additional collateral is accepted. 10% of the mortgage volume per quarter is allowed not to meet the regulatory requirements, the limit is 8% for mortgages in Oslo.</t>
  </si>
  <si>
    <t>The regulation on requirements for new residential mortgage loans was renewed and continues to be applicable from 1 July 2018. Cf. NO-LTVR-2018(528)</t>
  </si>
  <si>
    <t>Supervisory guidelines for prudent residential mortgage lending practices specify that the LTV-ratio for residential mortgage loans is capped at 90% (75%*). In 2011 the LTV-cap was lowered to 85 % (70%*). (*) applies to home equity lines of credit.</t>
  </si>
  <si>
    <t>The supervisory guidelines from 2010/2011 was replaced by a regulation in 2015, hence the guidelines are no longer active.</t>
  </si>
  <si>
    <t>https://lovdata.no/static/RFT/rft-2010-0011.pdf</t>
  </si>
  <si>
    <t>NO.STTE.150</t>
  </si>
  <si>
    <t>When assessing a borrower's debt-servicing ability, the lender needs to make allowance for an interest rate increase of 5 percentage points. 10% of the volume of a lender's approved loans per quarter are allowed not to meet the regulatory requirements.</t>
  </si>
  <si>
    <t>NO.STTE.342</t>
  </si>
  <si>
    <t>When assessing a borrower's debt-servicing ability, the lender needs to make allowance for an interest rate increase of 5 percentage points. 10% of the mortgage volume per quarter is allowed not to meet the regulatory requirements, the limit is 8% for mortgages in Oslo.</t>
  </si>
  <si>
    <t>NO.LTVR.892</t>
  </si>
  <si>
    <t>LTV is capped at 60% for secondary homes in Oslo, otherwise at 85%, additional collateral is accepted.</t>
  </si>
  <si>
    <t>NO.LTVR.528</t>
  </si>
  <si>
    <t>https://www.regjeringen.no/en/aktuelt/new-lending-regulation/id2790822/</t>
  </si>
  <si>
    <t>NO.STTE.529</t>
  </si>
  <si>
    <t>https://www.esrb.europa.eu/pub/pdf/other/esrb.notification180702_NO_rml.pdf?1adb117f8a4f79c4202c358fcdcab253</t>
  </si>
  <si>
    <t>The LTV-ratio for residential mortgage loans is capped at 85%. The cap is 60% for secondary homes in Oslo. Additional collateral is accepted. 10% of the mortgage volume per quarter is allowed not to meet the regulatory requirements, the limit is 8% for mortgages in Oslo.</t>
  </si>
  <si>
    <t>NO.LAMO.531</t>
  </si>
  <si>
    <t>Residential mortgage loans with an LTV greater than 60% need to be amortised at a rate of 2,5% per annum or equivalent to an annuity loan with a 30 year repayment period.</t>
  </si>
  <si>
    <t>NO.DETI.530</t>
  </si>
  <si>
    <t>NO.DETI.891</t>
  </si>
  <si>
    <t>Total debt may not exceed five times gross annual income. Lenders may deviate from the debt-to-income requirement and stress test when issuing a residential mortgage loan where the purpose of the loan is to restructure existing debt held by borrowers that are not able to service the debt.</t>
  </si>
  <si>
    <t>NO.STTE.890</t>
  </si>
  <si>
    <t>When assessing a borrower's debt-servicing ability, the lender needs to make allowance for an interest rate increase of 5 percentage points on total debt and include required amortization. The credit line limit of credit cards shall be applied when calculating amortization. Lenders may deviate from the debt-to-income requirement and stress test when issuing a residential mortgage loan where the purpose of the loan is to restructure existing debt held by borrowers that are not able to service the debt.</t>
  </si>
  <si>
    <t>NO.LAMO.888</t>
  </si>
  <si>
    <t>Loan amortisation requirements: residential mortgage loans with an LTV above 60% need to be amortised at a rate of 2.5% per annum or the equivalent to an annuity loan with a 30 year repayment period. The maximum term of consumer loans is 5 years and monthly principal repayments is required.</t>
  </si>
  <si>
    <t>The mortgage volume allowed to deviate from the regulatory requirements was temporarily increased from 8% and 10% to 20 %.</t>
  </si>
  <si>
    <t>The temporary change to the mortgage regulation was made in response to the outbreak of Covid-19 and the measures to contain it.</t>
  </si>
  <si>
    <t>https://www.regjeringen.no/en/aktuelt/temporary-changes-in-the-mortgage-regulation/id2694589/
https://www.regjeringen.no/en/aktuelt/temporary-changes-to-the-mortgage-regulation-will-not-be-extended/id2741097/</t>
  </si>
  <si>
    <t>Residential mortgage loans with an LTV greater than 70% need to be amortised.</t>
  </si>
  <si>
    <t>The supervisory guidelines from 2010/2011 was replaced by a regulation in 2015, hence the guidelines are no longer active. The regulation on requirements for new residential mortgage loans was renewed and continues to be applicable from 1 July 2018.</t>
  </si>
  <si>
    <t>https://lovdata.no/static/RFT/rft-2011-0029.pdf</t>
  </si>
  <si>
    <t>When assessing a borrower's debt-servicing ability, the lender needs to make allowance for an interest rate increase of 5 percentage points.</t>
  </si>
  <si>
    <t>NO.LAMO.343</t>
  </si>
  <si>
    <t>Residential mortgage loans with an LTV greater than 60% need to be amortised at a rate of 2,5% per annum or equivalent to an annuity loan with a 30 year repayment period. 10% of the mortgage volume per quarter is allowed not to meet the regulatory requirements, the limit is 8% for mortgages in Oslo.</t>
  </si>
  <si>
    <t>NO.FLEX.893</t>
  </si>
  <si>
    <t>10% of the new mortgage loans volume per quarter outside Oslo is allowed not to meet the regulatory requirements; in Oslo, the limit is 8%; for consumer loans the limit is 5%.</t>
  </si>
  <si>
    <t>PL.LTVR.155</t>
  </si>
  <si>
    <t>LTV limits:
Residential real estate: 
2014 - 95%
2015 - 90%
2016 - 85% or 90% if the part above 85% is insured or collateralized with funds on bank account, government or NBP securities
&gt;=2017 (target levels) - 80% or 90%  if the part above 80% is insured or collateralized with funds on bank account, government, NBP securities or IKE / IKZE (funds accumulated in the third Pillar of retirement program).
Commercial real estate:
since July 2014 - 75% or 80% if the part above 75% is insured or collateralized with funds on bank account, government, NBP securities or IKE / IKZE (funds accumulated in the third Pillar of retirement program).</t>
  </si>
  <si>
    <t>http://www.knf.gov.pl/Images/Rekomendacja_S_18_06_2013._tcm75-34880.pdf</t>
  </si>
  <si>
    <t>PL.LMAT.154</t>
  </si>
  <si>
    <t>Banks should recommend to their clients loans of maturity not longer than 25 years, and if clients ask for loans of longer maturity banks are recomended to grant loans of maturity of maximum 35 years and assess the creditworthiness assuming maturity of 25 years.</t>
  </si>
  <si>
    <t>https://www.knf.gov.pl/knf/pl/komponenty/img/Rekomendacja_S_18_06_2013_34880._34880.pdf</t>
  </si>
  <si>
    <t>PL.DSTI.152</t>
  </si>
  <si>
    <t>Removal of strict DSTI levels, for creditworthiness assessment bank should take into consideration broad set of indicators and set their internal DSTI limits. The PFSA can challenge these limits. Banks should pay particular attention to loans for which DSTI ratios exceed 40% (for borrowers with incomes below the average salary in the region) and 50% (for other borrowers). In such cases the client should be informed about heightened risk of such a transaction. Applies to newly originated housing loans.</t>
  </si>
  <si>
    <t>PL.DSTI.151</t>
  </si>
  <si>
    <t>Removal of strict DSTI levels, for creditworthiness assessment bank should take into consideration broad set of indicators and set their internal DSTI limits . Applies to all loans to households.</t>
  </si>
  <si>
    <t>https://www.knf.gov.pl/knf/pl/komponenty/img/Rekomendacja_T_%2814_09_2018%29_63160.pdf</t>
  </si>
  <si>
    <t>PT.LMAT.446</t>
  </si>
  <si>
    <t>Regarding the original maturity of the loans, limits:
• 	of 40 years for new agreements for credit relating to residential immovable property or credit secured by a mortgage or equivalent guarantee; 
• 	average maturity of new credit agreements should gradually converge to 30 years until the end of 2022;
• 	of 10 years for new consumer credit agreements</t>
  </si>
  <si>
    <t>https://www.bportugal.pt/en/page/ltv-dsti-and-maturity-limits</t>
  </si>
  <si>
    <t>PT.DSTI.770</t>
  </si>
  <si>
    <t>The exceptions on DSTI above 50% were amended as follows:
- up to 10% of the total amount of credit granted under this measure by each institution may be granted to borrowers with a DSTI of up to 60%
- up to 5% of the total amount of credit granted under this measure by each institution may exceed the limits laid down regarding the DSTI.
In response to the COVID-19 pandemic, Banco de Portugal has decided that personal credit with maturities of up to two years and duly identified as intended to mitigate households’ temporary liquidity shortage situations will no longer have to comply with a DSTI ratio limit and is also exempted from observing the recommendation of regular principal and interest payments. This measure will be in force from 1 April 2020 to 30 September 2020 subject to further reassessments.</t>
  </si>
  <si>
    <t>PT.DSTI.445</t>
  </si>
  <si>
    <t>https://www.bportugal.pt/en/comunicado/press-release-amendment-macroprudential-recommendation-new-credit-agreements-consumers</t>
  </si>
  <si>
    <t>PT.LMAT.769</t>
  </si>
  <si>
    <t>The maturity limit on new personal loans is tightened from 10 years to 7 years with the exception of credit granted to education, health and renewable energies whose maturity limit is kept in 10 years provided that these purposes are duly evidenced.
Therefore the original maturity limits on new consumer loans become the following:
- 7 years for personal loans
- 10 years for personal loans granted for education, healthcare or renewable energy, provided that these purposes are duly evidenced
- 10 years for car loans</t>
  </si>
  <si>
    <t>DSTI limit 50%, with the following exceptions:
• up to 20% of the total amount of credit granted under this measure by each institution in each year may be granted to borrowers with a DSTI of up to 60%;
• 	up to 5% of the total amount of credit granted under this measure by each institution  in each year may exceed the limits laid down regarding the DSTI.
The calculation of the DSTI numerator considers the instalments of all credit agreements already concluded, including instalments of credit agreements out of the scope of the Recommendation of Banco de Portugal within the legal framework of new credit agreements for consumers, provided that there is a defined repayment schedule, and the instalments of the new credit agreement. For the purposes of this calculation, the instalments of the new credit agreement are assumed to be constant, and the impact of an interest rate rise shall be considered for this agreement, in accordance with the provisions of an Instruction 3/2018 of Banco de Portugal. For the calculation of the DSTI denominator, it is recommended that the annual income of a borrower be divided into 12 months. In the case of a borrower aged 70 and over at the planned expiry of the agreement, a reduction of income of at least 20% of current annual income shall be considered, weighted by the ratio of the number of years of the agreement in which a borrower is aged 70 and over to the total maturity of the agreement. This reduction in income shall not be considered if at the time of the creditworthiness assessment the borrower is already retired.</t>
  </si>
  <si>
    <t>PT.LMAT.1130</t>
  </si>
  <si>
    <t>The maturity limit on new housing loans shall be 40 years for borrowers aged 30 or under; 37 years for borrowers aged over 30 and up to and including 35; and 35 years for borrowers aged over 35.</t>
  </si>
  <si>
    <t>PT.LMAT.1443</t>
  </si>
  <si>
    <t>The measure concerns the average maturity of the new agreements for credit relating to residential immovable property or credit secured by a mortgage or equivalent guarantee, which shall not exceed 30 years</t>
  </si>
  <si>
    <t>PT.STTE.1442</t>
  </si>
  <si>
    <t>Considering the recent increase in reference interest rates, Banco de Portugal revised the interest rate rise considered in the numerator of the stressed DSTI ratio to 0.5 p.p. for new business with a maturity of up to and including 5 years, 1 p.p. for agreements with a maturity of 5 to 10 years, and 1.5 p.p. for agreements with a maturity of over 10 years</t>
  </si>
  <si>
    <t>PT.LTVR.444</t>
  </si>
  <si>
    <t>LTV (Loan-to-Value) limits established:
• 	of 90% for credit for own and permanent residence;
• 	of 80% for credit for purposes other than own and permanent residence;
• 	of 100% for credit for purchasing immovable property held by the credit institutions and for property financial leasing agreements.
The denominator of this ratio corresponds to the minimum between the purchase price and the appraisal value of the immovable property pledged as collateral.</t>
  </si>
  <si>
    <t>RO.DSTI.551</t>
  </si>
  <si>
    <t>Implementation of a limit of 40 % on debt service to income (DSTI), as measured by the ratio between total monthly payment obligations arising from credits and borrower’s net income. For FX exposures for which the borrower is not naturally hedged, the DSTI cannot exceed 20% of net income. Monthly debt service related to revolving exposures such as overdrafts and credit cards must be taken as a minimum of 3 percent of the exposure at origination.
Loans granted for the solely for purpose of refinancing which do not imply additional amounts will be exempted from the regulation. For first time home buyers, the specified limits are increased by 5 percentage points. A maximum of 15% of new loans will be exempted from the regulation.
The measure applies to credit institutions, non-bank financial lenders, payments institutions and institutions issuing electronic money.</t>
  </si>
  <si>
    <t>http://www.bnr.ro/page.aspx?prid=15396</t>
  </si>
  <si>
    <t>RO.DSTI.161</t>
  </si>
  <si>
    <t>Credit institutions must ensure stricter criteria for debt servicing capacity in case of FX loans granted to unhedged non-financial firms even in cases of a severe depreciation of the local currency or increases in interest rates. In establishing the debt servicing capacity they should take into account the foreign currency and interest rate shocks  defined for consumer loans: (a) for foreign currency risk, the depreciation scenarios of the local currency to be incorporated are: 35.5% for EUR denominated loans, 52.6% for CHF denominated loans and 40.9% for USD denominated  loans and (b) for interest rate risk: 0.6 percentage points increase in interest rate. The measure is applied to both banks and non-bank financial institutions.</t>
  </si>
  <si>
    <t>RO.DSTI.157</t>
  </si>
  <si>
    <t>In the case of consumer loans, when establishing the maximum level of DSTI, the credit institutions have to take into account the foreign currency risk, interest rate risk and income risk.  The values for these risk factors are explicitly specified in the regulation: (a) for foreign currency risk, the depreciation scenarios of the local currency to be incorporated are: 35.5% for EUR denominated loans, 52.6% for CHF denominated loans and 40.9% for USD denominated loans, (b) for interest rate risk: 0.6 percentage points increase in interest rate and (c) for income risk: 6% reduction in income. The measure is applied to both banks and non-bank financial institutions.</t>
  </si>
  <si>
    <t>RO.LTVR.159</t>
  </si>
  <si>
    <t>In case of housing loans, limits on the LTV ratio were imposed: 85% for local currency denominated loans, 80% to FX loans granted to hedged borrowers, 75% for EUR denominated loans granted to unhedged borrowers, and 60% for other FX loans granted to unhedged borrowers. In case of consumer loans, maximum LTV is 75%. LTV limits for loans granted through the governmental program “Prima Casă” are 95% irrespective the currency. The measure is applied to both banks and non-bank financial institutions.</t>
  </si>
  <si>
    <t>https://darwin.escb.eu/livelink/livelink/app/nodes/1204523840 (08/04/2022 update)</t>
  </si>
  <si>
    <t>RO.LMAT.158</t>
  </si>
  <si>
    <t>Consumer loans with a maturity of more than 5 years are not allowed. The measure is applied to both banks and non-bank financial institutions.</t>
  </si>
  <si>
    <t>RO.LTVR.1209</t>
  </si>
  <si>
    <t>The National Bank of Romania has decided to lower LTV limits by 10 percentage points for loans granted to individuals for the purchase of a property other than that intended to be used as housing for their own use.
The measure applies to both credit institutions and non-bank financial intermediaries in order to ensure a level playing field and to reduce the risk of regulatory arbitrage.</t>
  </si>
  <si>
    <t>SK.DETI.1194</t>
  </si>
  <si>
    <t>The DTI limit is gradually tightened for borrowers above 40 years old if the loan maturity exceed the retirement age. The limit is tightened by 0.25% for every year above 40 and starting at 8% (age 41; 7.75, age 42: 7.5 etc...). The floor is set at 3% at the age of 60. 5% of new loans can be granted with a DTI above the limit, irrespective of the age of the borrower.</t>
  </si>
  <si>
    <t>SK.STTE.169</t>
  </si>
  <si>
    <t>Banks should perform portfolio stress testing for an increase in interest rates and unemployment.</t>
  </si>
  <si>
    <t>Recommendation</t>
  </si>
  <si>
    <t>SK.LMAT.1193</t>
  </si>
  <si>
    <t>Maturity mismatch and market illiquidity</t>
  </si>
  <si>
    <t>The maximum maturity of the "green consumer loans" is extended from 8 to 10 years.</t>
  </si>
  <si>
    <t>SK.DSTI.1191</t>
  </si>
  <si>
    <t>The current maximum instalment implied by the DSTI limit is 60%. In the case of a "green consumer loan", the maximum instalment may be increased by 50€.</t>
  </si>
  <si>
    <t>SK.STTE.168</t>
  </si>
  <si>
    <t>Set and adhere to an internal limit for the indicator of customer repayment ability. The limit should be met also in the case of an interest rate increase. 
Banks should verify their customers' income.</t>
  </si>
  <si>
    <t>Replaced by a drecree. See measure: SK.DSTI.309</t>
  </si>
  <si>
    <t>SK.LTVR.165</t>
  </si>
  <si>
    <t>LTV of new loans should not be more than 100%. 
The share of loans with an LTV ratio of between 90% and 100% should not exceed:
a) 25%, until 30 June 2015;
b) 20%, from 1 July 2015 to 31 March 2016;
c) 15%, from 1 April 2016 to 31 December 20 16;
d) 10%, from 1 January2017.</t>
  </si>
  <si>
    <t>Replaced by a decree. See measure: SK.LTVR.310</t>
  </si>
  <si>
    <t>SK.LMAT.164</t>
  </si>
  <si>
    <t>Maximum maturity for new housing loans should be 30 years with no more than 10% of new loans exceeding this limit.  Maximum maturity for other new loans is 9 (ultimately 8) years. 
Date of application: Housing loans: 1 March 2015. 
Other loans: 9 years from 1 March 2015 to 31 December 2015; 8 years from 1 Janauary 2016 onwards.</t>
  </si>
  <si>
    <t>Replaced by national law: See measure: SK.LMAT.311 and SK.LMAT.409</t>
  </si>
  <si>
    <t>SK.LAMO.163</t>
  </si>
  <si>
    <t>Loans with (partial) deferred payment of interest or principal should not be granted. Specified exceptions are allowed. All loans must be amortised at least by annuity repayments.</t>
  </si>
  <si>
    <t>SK.DSTI.162</t>
  </si>
  <si>
    <t>Bank's internal systems should include an indicator containing household income, standard household living costs, and total debt servicing requirements.</t>
  </si>
  <si>
    <t>Replaced by a decree. See measure: SK.DSTI.309 and SK.DSTI.408</t>
  </si>
  <si>
    <t>SK.DSTI.759</t>
  </si>
  <si>
    <t>Tightening the limit on debt service to income ratio (DSTI) for both housing loans and consumer loans. The DSTI limit is tightened from 80 % to 60 %. 
Exemptions: 
-	5 % of new loans can be granted with DSTI up to 70 % (applicable to any new loans)
-	5 % of new consumer loans with maturity not exceeding 5 years can be granted with DSTI up to 70 % (applicable only to new consumer loans with maturity not exceeding 5 years)</t>
  </si>
  <si>
    <t>SK.LMAT.409</t>
  </si>
  <si>
    <t>Maturity limits for consumer loans 
a) consumer loans granted by financial institutions other than building societies: 8 years
a) loans granted by building societies: 30 years
 (measure transferred from existing recommendation)</t>
  </si>
  <si>
    <t>https://www.nbs.sk/_img/Documents/_Legislativa/_Vestnik/OPAT10-2017.pdf</t>
  </si>
  <si>
    <t>SK.LTVR.518</t>
  </si>
  <si>
    <t>Tightening of LTV limits for housing loans, whereby two measures apply in unison: (i) the LTV cannot exceed 90% and, (ii) the maximum share of new loans with LTV &gt; 80% cannot exceed 20% (previously 40%). This is subject to a phase-in period.
1 July 2018 - 31 Sept. 2018: 35%
1 Oct. 2018 - 31 Dec. 2018: 30%
1 Jan. 2019 - 30 June 2019: 25%
From 1 July 2019 onwards: 20%</t>
  </si>
  <si>
    <t>SK.DETI.517</t>
  </si>
  <si>
    <t>Total borrower's indebtedness (including both new and existing loans) cannot exceed 8-times his/her yearly net disposable income. The measure will be phased-in following activation on 1 July 2018, which permits the following share of new loans to exceed the DTI limit of 8.
1 July 2018 - 31 Sept. 2018: 20%
1 Oct. 2018 - 31 Dec. 2018: 15%
1 Jan. 2019 - 30 June 2019: 10%
From 1 July 2019, the share of new loans with a DTI &gt; 8 can exceed 5% (up to 10%) only for loans granted to young clients (up to 35 years of age, income &lt; 1.3 x Average), with DTI &lt; 9.</t>
  </si>
  <si>
    <t>SK.DSTI.408</t>
  </si>
  <si>
    <t>Limit on debt service to income ratio for consumer loans (tightening of the measure transferred from existing recommendation)
Loan instalments (for both new and existing loans, subject to assumed interest rate increase by 2 p.p., if interest rate is not fixed) cannot exceed 80 % of borrower’s disposable income. Disposable income is defined as net income less the minimum subsistence amount (including the minimum subsistence amount for children and spouse, if applicable). 
Exception: For clients with debt-to-income (including the new loan) not exceeding 1 (or 1.5 in case of leasing), the above-mentioned limit is 100 %.</t>
  </si>
  <si>
    <t>SK.DSTI.309</t>
  </si>
  <si>
    <t>Tightening of the limit on debt-service-to-income ratio for housing loans. Loan instalments (for both new and existing loans, subject to assumed interest rate increase by 2 p.p., if interest rate is not fixed) cannot exceed 80 % of borrower’s disposable income. Disposable income is defined as net income less the minimum subsistence amount (including the minimum subsistence amount for children and spouse, if applicable).</t>
  </si>
  <si>
    <t>SK.LTVR.310</t>
  </si>
  <si>
    <t>LTV limits for housing loans (all three apply in parallel):
a) LTV cannot exceed 100 % (measure transferred from existing recommendation)
b) Share of new loans with LTV &gt; 90 % cannot exceed 10 % (measure transferred from existing recommendation)
c) Share of new loans with LTV &gt; 80 % cannot exceed  40 % (new measure)</t>
  </si>
  <si>
    <t>SK.LMAT.311</t>
  </si>
  <si>
    <t>Maturity limits for housing loans:
a) loans secured by RRE: 30 years with possible exemption of 10 % of new loans (measure transferred from existing recommendation)
b) loans not secured by RRE granted by building societies:
    i) maximum maturity: 30 years
    ii) max share of new loans over  25 years: 10 %
    iii) max share of new loans over 20 years: 20 %
(new measure)
c) other loans not secured by RRE: 8 years (measure transferred from existing recommendation)</t>
  </si>
  <si>
    <t>SI.DSTI.552</t>
  </si>
  <si>
    <t>Extension of the 2016 DSTI recommendation also to consumer loans and introduction of a recommendation on maturity limits for consumer loans. The highest recommended LTV ratio for housing loans is 80%. The highest recommended DSTI ratio for housing and consumer loans is: (a) for borrowers with monthly income less than or equal to EUR 1,700: 50%; and (b) for borrowers with monthly income exceeding EUR 1,700: 50% for that portion of income up to EUR 1,700 inclusive, and 67% for that portion of income exceeding EUR 1,700.
In the event of several borrowers, this provision applies to each borrower separately.</t>
  </si>
  <si>
    <t>SI.DSTI.329</t>
  </si>
  <si>
    <t>Replaced by a binding measure.</t>
  </si>
  <si>
    <t>https://www.bsi.si/en/financial-stability/macroprudential-supervision/macroprudential-instruments/archive-of-macroprudential-instruments/previous-macroprudential-restrictions-on-households-lending</t>
  </si>
  <si>
    <t>SI.LMAT.735</t>
  </si>
  <si>
    <t>The regulation sets out the maximum maturity of consumer loans that are not secured by residential real estate. This may not exceed 84 months (seven years). 
Up to 15% of consumer loans (relative to the amount of loans that comply with the limit on maturity and the cap on DSTI) approved by a bank each quarter may have a maturity of more that seven years. The maturity of such loans may not exceed 120 months (10 years), and must also comply with the cap on DSTI.</t>
  </si>
  <si>
    <t>SI.LMAT.721</t>
  </si>
  <si>
    <t>https://www.bsi.si/en/financial-stability/macroprudential-supervision/macroprudential-instruments/macroprudential-restrictions-on-household-lending</t>
  </si>
  <si>
    <t>SI.LTVR.1121</t>
  </si>
  <si>
    <t>The Bank of Slovenia has lowered the recommended LTV: The recommended LTV value has been decreased from 80% to 70% for borrowers not buying primary property. For the property to be classified as primary (and eligible for higher LTV up to 80%) it must fulfil three criteria: (1) 	It must be pledged as collater (2) 	The loan must be used to purchase, renovate or build this property. (3) 	The borrower must move his/her permanent address to the property	Housing loans with complete government guarantee have been excluded from the macroprudential restrictions.</t>
  </si>
  <si>
    <t>SI.DSTI.1379</t>
  </si>
  <si>
    <t>Reduce the maximum allowed DSTI to 50% from 67%, irrespective of the borrower's level of income.</t>
  </si>
  <si>
    <t>SI.DSTI.1382</t>
  </si>
  <si>
    <t>Lower the creditworthiness threshold from 76% of gross income, to a level determined by the minimum living expenses and if necessary adjusted for inflation, reviewed every year. The new threshold will be €745, meaning that €745 is the minimum amount that a consumer must be left with, after paying off all credit obligations (loans and/or leasing obligations). In case the consumer is supporting a family member or another person that they are required to support by law, the consumer should be left with the amount of income stipulated for the person that they are supporting according to the criteria for allocating cash social assistance set out by the law governing social security benefits.</t>
  </si>
  <si>
    <t>SI.DSTI.1383</t>
  </si>
  <si>
    <t>Reduce allowed deviation from DSTI caps 10% to 3%.</t>
  </si>
  <si>
    <t>SI.DSTI.1120</t>
  </si>
  <si>
    <t>The Bank of Slovenia has changed conditions for allowed deviation from DSTI cap: The threshold for credit worthiness has been abolished for allowed deviation from the DSTI cap. The change affects both housing and consumer loans. 	Housing loans with complete government guarantee have been excluded from the macroprudential restrictions.</t>
  </si>
  <si>
    <t>SI.LTVR.328</t>
  </si>
  <si>
    <t>The recommended maximum level of the LTV ratio is 80%.</t>
  </si>
  <si>
    <t>https://www.bsi.si/en/financial-stability/macroprudential-supervision/macroprudential-instruments/archive-of-macroprudential-instruments/previous-macroprudential-restrictions-on-households-lending and https://www.bsi.si/en/financial-stability/macroprudential-supervision/macroprudential-instruments/macroprudential-restrictions-on-household-lending</t>
  </si>
  <si>
    <t>The recommended maximum level of the DSTI ratio is: (a) for borrowers with monthly income less than or equal to EUR 1,700: 50%; and (b) for borrowers with monthly income exceeding EUR 1,700: 50% for that portion of income up to EUR 1,700 inclusive, and 67% for that portion of income exceeding EUR 1,700. In the event of several borrowers, this provision applies to each borrower separately.</t>
  </si>
  <si>
    <t>Replaced by an extended recommendation.</t>
  </si>
  <si>
    <t>The highest recommended maturity for consumer loans is 120 months.
Update from July 2022: The calculation of allowed deviations quota was amended: The quota for allowed deviations is now calculated with respect to loans which are compliant with all the binding macroprudential instruments and were granted in the previous quarter. 	Housing loans with complete government guarantee have been excluded from the macroprudential restrictions.</t>
  </si>
  <si>
    <t>SI.DSTI.734</t>
  </si>
  <si>
    <t>The DSTI cap for consumer loans depends on the borrower’s annual net income and is: 
(a) 50% for net income of no more than twice the minimum gross wage, and
(b) 67% for the portion of the net income that exceeds twice the minimum gross wage.
(c ) Notwithstanding the income level, an amount of at least 76% of the minimum gross wage must remain for the consumer each month after the payment of all instalments under credit agreements. If the consumer is supporting a family member or another person that he/she is required to support by law, the amount of income stipulated for the person that he/she is supporting according to the criteria for allocating cash social assistance set out by the law governing social security benefits must also remain for the consumer.
Up to 10% of consumer loans and 10% of housing loans (relative to the amount of loans that comply with the limit on maturity and the cap on DSTI) approved by a bank each quarter may have a DSTI that exceeds the prescribed cap on DSTI. DSTI may not exceed 67%, and the loans must also comply with the limits on maturity. Furthermore, the exemptions do not apply to loans that do not comply with point ( c ).                                                                                                                                                                                                  
Amendement from May 2020:  Due to COVID-19 some individuals might have experienced temporary declines in their income, which do not necessary, reflect a change in their long-term credit worthiness. Therefore, the macroprudential restrictions on household lending were amended to provide some temporary flexibility when calculating income.
If the borrower’s income was temporarily affected by COVID-19 and has since normalized (i.e. the bank has information for at least one month of normalized income), the banks can exclude the months with decreased earning. In this case, the income is annualized using the information for remaining months.
Update from July 2022: 	Loans secured by financial instrumen are exempt from the DSTI cap. However, their maturity is limited to three years and the ratio between the loan and the value of collateral composed of financial instruments at the time of loan approval (LTC) is not allowed to exceed 70 %. 	Housing loans with complete government guarantee have been excluded from the macroprudential restrictions.
Furter, the calculation of allowed deviations quota was amended: The quota for allowed deviations is now calculated with respect to loans which are compliant with all the binding macroprudential instruments and were granted in the previous quarter. 	Housing loans with complete government guarantee have been excluded from the macroprudential restrictions.</t>
  </si>
  <si>
    <t>The COVID-19 related temporary amendment will expire automatically 12 months after the COVID-19 epidemic declaration will be revoked.</t>
  </si>
  <si>
    <t>SE.LTVR.175</t>
  </si>
  <si>
    <t>LTV of new mortgages should not be more than 85%.</t>
  </si>
  <si>
    <t>http://www.fi.se/sv/vara-register/sok-fffs/2016/201633/</t>
  </si>
  <si>
    <t>SE.LAMO.454</t>
  </si>
  <si>
    <t>New borrowers with mortgages in excess of 4.5 times their gross income (LTI) must amortise at least 1 per cent of the debt in addition to the existing amortisation requirement. 
The existing amortization requirements imply that mortgagors with:
• LTV between 50 and 70 percent must amortise at least 1 percent of the mortgage per year and
• 	LTV above 70 percent must amortise at least 2 percent per year
The amendment implies that new mortgagors with an LTI above 4.5 must amortise an additional 1 percent per year.
During the COVID-19 pandemic banks were allowed to apply amortisation requirement exemption also for Covid-19 related reasons. The temporary exemption started on April 14, 2020 and ended on August 30, 2021.</t>
  </si>
  <si>
    <t>SE.LAMO.229</t>
  </si>
  <si>
    <t>http://www.fi.se/en/published/news/2017/proposal-for-a-stricter-amortisation-requirement-for-households-with-high-loan-to-income-ratios/</t>
  </si>
  <si>
    <t>SE.LAMO.181</t>
  </si>
  <si>
    <t>New mortgages with an LTV above 70% must be amortised by at least 2% of the original loan amount each year. Loans that have an LTV below 70% must be amortised by a minimum of 1% annually until the LTV has reached 50%. 
For existing mortgages raised before 1 June 2016, additional loans may be paid either in accordance with the basic rule or over a period of ten years. 
Exemptions from the amortisation requirement will be allowed in certain situations, such as unemployment or sickness. Furthermore, mortgage firms may waive the amortisation requirement for a loan collateralised by a newly produced residential property, although for a maximum of five years.</t>
  </si>
  <si>
    <t>http://www.fi.se/en/published/press-releases/2016/amortisation-requirement-for-new-mortgages/</t>
  </si>
  <si>
    <t>Finansinspektionen published on 11 March 2015 a proposal on amortisation requirement for new mortgages. The amortisation requirement applies to all new loans granted that are collateralised by a home. Finansinspektionen’s Board of Directors decided on the new regulations on amortisation rules in May 2016. The amortisation requirement came into force on 1 June 2016.</t>
  </si>
  <si>
    <t>http://www.fi.se/en/published/press-releases/2015/new-proposal-for-an-amortization-requirement/
http://www.fi.se/en/published/press-releases/2016/amortisation-requirement-for-new-mortgages/
http://www.regeringen.se/rattsdokument/departementsserien-och-promemorior/2015/09/amorteringskrav/</t>
  </si>
  <si>
    <t>UK.STTE.185</t>
  </si>
  <si>
    <t>Bank of England</t>
  </si>
  <si>
    <t>Mortgage lenders need to assess whether borrowers can still afford their mortgage loans if the Bank of England's rate were 3 percentage points higher over a 5 year period than at origination of the loan.</t>
  </si>
  <si>
    <t>The FPC clarified its existing insurance measures in the mortgage market, designed to prevent excessive growth in the number of highly indebted households. To achieve this, it withdrewe its existing Recommendation on affordability tests and replaced it with 17/Q2/1</t>
  </si>
  <si>
    <t>http://www.bankofengland.co.uk/publications/Pages/Records/fpc/2014/1407.aspx
https://www.bankofengland.co.uk/-/media/boe/files/record/2017/financial-policy-committee-meeting-june-2017.pdf?la=en&amp;hash=F3702890C3F76408B42937A616CF96A5967A4AC5</t>
  </si>
  <si>
    <t>UK.LTIR.183</t>
  </si>
  <si>
    <t>Proportionate LTI limit: new residential mortgage loans with LTI greater than 4.5 should not be more than 15% of aggregate volume new residential mortgage loans. De minimis exception for lenders with mortgage lending up to GBP 100 million per annum or extending fewer than 300 mortgages. Implemented as a Pillar II measure.</t>
  </si>
  <si>
    <t>Art 103 CRD</t>
  </si>
  <si>
    <t>UK.STTE.585</t>
  </si>
  <si>
    <t>When assessing affordability, mortgage lenders should apply an interest rate stress test that assesses whether borrowers could still afford their mortgages if, at any point over the first five years of the loan, their mortgage rate were to be 3 percentage points higher than the reversion rate specified in the mortgage contract at the time of origination (or, if the mortgage contract does not specify a reversion rate, 3 percentage points higher than the product rate at origination). This Recommendation is intended to be read together with the FCA requirements around considering the effect of future interest rate rises as set out in MCOB 11.6.18(2). This Recommendation applies to all lenders which extend residential mortgage lending in excess of £100 million per annum.</t>
  </si>
  <si>
    <t>https://www.bankofengland.co.uk/-/media/boe/files/record/2017/financial-policy-committee-meeting-june-2017.pdf?la=en&amp;hash=F3702890C3F76408B42937A616CF96A5967A4AC5</t>
  </si>
  <si>
    <t>Reciprocation (recognition) measures - apart from recognition of shorter transitionary periods for capital conservation buffer and countercyclical capital buffer</t>
  </si>
  <si>
    <t>Intermediate objective</t>
  </si>
  <si>
    <t>De minimis exemption</t>
  </si>
  <si>
    <t>Additional information on reciprocation</t>
  </si>
  <si>
    <t>Reference of reciprocated measure</t>
  </si>
  <si>
    <t>AT.NECI.297</t>
  </si>
  <si>
    <t>Non-reciprocation</t>
  </si>
  <si>
    <t>Non-reciprocation of 1-percent systemic risk buffer rate applied to the domestic exposures of all credit institutions in Estonia.</t>
  </si>
  <si>
    <t>53</t>
  </si>
  <si>
    <t>AT.NECI.624</t>
  </si>
  <si>
    <t>Non-reciprocation of the French measure consisting of a tightening of large exposure limits applicable to highly indebted large non-financial corporations that are resident in France taken under Article 458 CRR.</t>
  </si>
  <si>
    <t>Article 458 CRR</t>
  </si>
  <si>
    <t>490</t>
  </si>
  <si>
    <t>AT.NECI.466</t>
  </si>
  <si>
    <t>Non-reciprocation of the Finnish measure consists of a credit institution-specific minimum level of 15% for the average risk-weight on loans secured by a mortgage on housing units in Finland applicable to credit institutions using the internal ratings based (IRB) approach, under Article 458.</t>
  </si>
  <si>
    <t>448</t>
  </si>
  <si>
    <t>AT.NECI.623</t>
  </si>
  <si>
    <t>Non-reciprocation of the Belgian measure of 5 percentage point add-on to the risk weights of IRB credit institutions, and a proportionate risk-weight add-on consisting of 33 per cent of the exposure-weighted average of the risk-weights applied to the portfolio of retail exposures secured by residential immovable property located in Belgium.</t>
  </si>
  <si>
    <t>489</t>
  </si>
  <si>
    <t>AT.NECI.670</t>
  </si>
  <si>
    <t>Non-reciprocation of the Swedish article 458  measure (a credit insitution-specific floor of 25 per cent for the exposure-weighted average of the risk weights applied to the portfolio of retail exposures to obligors residing in Sweden secured by immovable property, to credit institutions authorised in Sweden and using the IRB Approach for calculating regulatory capital requirements.)</t>
  </si>
  <si>
    <t>516</t>
  </si>
  <si>
    <t>AT.NECI.293</t>
  </si>
  <si>
    <t>Non-reciprocation of the Belgian measure of 5 percentage point add-on to the risk weights of IRB credit institutions taken under Art. 458 CRR.</t>
  </si>
  <si>
    <t>Art. 458 CRR</t>
  </si>
  <si>
    <t>89</t>
  </si>
  <si>
    <t>BE.RECI.1614</t>
  </si>
  <si>
    <t>Reciprocation (recognition)</t>
  </si>
  <si>
    <t>Reciprocation of: 
A 7 % sectoral systemic risk buffer rate on all types of exposures located in Denmark to non-financial corporations operating in real estate activities and in the development of building projects identified in accordance with the statistical classification of economic activities in the Union (NACE), set out in Regulation (EC) No 1893/2006, with the exception that the part of each exposure that lies within a loan-to-value ratio range of 0 % to 15 % shall be excluded from the exposures to which the sectoral systemic risk buffer applies. 
Same scope as the Danish (original) measure, i.e. : the measure shall apply, on an individual and
consolidated basis, to credit institutions authorised in Belgium having exposures located in Denmark to nonfinancial corporations operating in real estate activities apart from social housing associations and housing
cooperative associations and in development of building projects.</t>
  </si>
  <si>
    <t>Article 133 CRD</t>
  </si>
  <si>
    <t>1537</t>
  </si>
  <si>
    <t>BE.RECI.273</t>
  </si>
  <si>
    <t>Reciprocation of 1-percent SRB rate applied to the domestic exposures of all credit institutions authorised in Estonia.</t>
  </si>
  <si>
    <t>Article 134 CRD</t>
  </si>
  <si>
    <t>https://www.nbb.be/en/financial-oversight/macroprudential-supervision/macroprudential-instruments/reciprocity</t>
  </si>
  <si>
    <t>BE.RECI.941</t>
  </si>
  <si>
    <t>National Bank of Belgium made a decision to reciprocate a 20% average risk weight floor for residential real estate exposures in Norway, applied in accordance with Article 458(2)(d)(vi) of Regulation (EU) No 575/2013. Belgium reciprocates these three measures in accordance with Regulation of 24 February 2016 of the National Bank of Belgium on the recognition of macroprudential measures, approved by Royal Decree of 20 May 2016.</t>
  </si>
  <si>
    <t>Institutions with non-material exposures will be
exempted. The exemption procedure will follow the
materiality thresholds as defined in ESRB
recommendation 2021/3.</t>
  </si>
  <si>
    <t>887</t>
  </si>
  <si>
    <t>BE.RECI.1116</t>
  </si>
  <si>
    <t>Banque Nationale de Belgique decided to reciprocate the Netherlands' measure on minimum average risk weight applied in accordance with Article 458(2)(d)(vi) of Regulation (EU) No 575/2013 to credit institutions authorised in the Netherlands, using the IRB approach for calculating regulatory capital requirements in relation to their portfolios of exposures to natural persons secured by
residential property.</t>
  </si>
  <si>
    <t>1096</t>
  </si>
  <si>
    <t>BE.RECI.1214</t>
  </si>
  <si>
    <t>The national bank of Belgium decided to reciprocate a a 2 % systemic risk buffer rate for all retail exposures to natural persons resident in the Republic of Lithuania that are secured by residential property.</t>
  </si>
  <si>
    <t>1079</t>
  </si>
  <si>
    <t>BE.RECI.938</t>
  </si>
  <si>
    <t>National Bank of Belgium made a decision to reciprocate of the Luxembourg LTV. In Belgium, there is currently no appropriate legal framework to reciprocate legally-binding LTV-limits on new mortgage loans on residential immovable property located in Luxembourg. Therefore, Belgium reciprocates this measure by means of a Recommendation, which is an available measure that will have the most equivalent effect to the activated Luxembourgish macroprudential policy measure.</t>
  </si>
  <si>
    <t>Institutions are only recommended to apply the Luxembourgish measure when both the country-specific threshold and the institution-specific threshold are reached, as defined in ESRB recommendation 2021/2.</t>
  </si>
  <si>
    <t>856</t>
  </si>
  <si>
    <t>BE.RECI.665</t>
  </si>
  <si>
    <t>Reciprocation of the Swedish article 458  measure (a credit insitution-specific floor of 25 per cent for the exposure-weighted average of the risk weights applied to the portfolio of retail exposures to obligors residing in Sweden secured by immovable property, to credit institutions authorised in Sweden and using the IRB Approach for calculating regulatory capital requirements.) The reciprocation holds for credit institutions established in Belgium for exposures through their branches located in Sweden and by direct cross-border activities in Sweden.</t>
  </si>
  <si>
    <t>SEK 5 billion, as defined in ESRB recommendation 2019/1</t>
  </si>
  <si>
    <t>BE.RECI.1592</t>
  </si>
  <si>
    <t>Belgium decided to reciprocate the German sectoral SyRB of 2% applied on all institutions for all exposures of individuals and legal entities secured by residential real estate located in Germany.</t>
  </si>
  <si>
    <t>1090</t>
  </si>
  <si>
    <t>BE.RECI.1023</t>
  </si>
  <si>
    <t>The Banque Nationale de Belgique has decided to reciprocate the measure by France entailing a tightening of the large exposure limit.</t>
  </si>
  <si>
    <t>BE.RECI.1593</t>
  </si>
  <si>
    <t>The National Bank of Belgium decided to reciprocate a 2 % systemic risk buffer rate on (i) all IRB exposures
secured by residential immovable property located in Germany, and (ii) all SA-based exposures fully and
completely secured by residential immovable property, as referred to in Article 125(2) of Regulation (EU) No
575/2013 of the European Parliament and of the Council, which is located in Germany.</t>
  </si>
  <si>
    <t>Institutions may be exempted from the systemic risk
buffer requirement if their relevant sectoral exposures
do not exceed EUR 10 billion. Therefore,
reciprocation is only requested when the institutionspecific threshold is exceeded.</t>
  </si>
  <si>
    <t>BE.RECI.1392</t>
  </si>
  <si>
    <t>Belgium decided to reciprocate the Swedish  Article 458 measure according to which a credit institution-specific minimum level (floor) of 35 % for the exposure-weighted average of the risk weights applied to the portfolio of corporate exposures secured by mortgages on immovable commercial properties (properties physically located in Sweden owned for commercial purposes to generate rental income) applied in accordance with Article 458(2)(d)(iv) of Regulation (EU) No 575/2013 to credit institutions authorised in Sweden using the IRB approach for calculating regulatory capital requirements</t>
  </si>
  <si>
    <t>1408</t>
  </si>
  <si>
    <t>BE.RECI.942</t>
  </si>
  <si>
    <t>National Bank of Belgium made a decision to reciprocate a 35% average risk weight floor for commercial real estate exposures in Norway, applied in accordance with Article 458(2)(d)(vi) of the CRR. Belgium reciprocates these three measures in accordance with Regulation of 24 February 2016 of the National Bank of Belgium on the recognition of macroprudential measures, approved by Royal Decree of 20 May 2016.</t>
  </si>
  <si>
    <t>Institutions with non-material exposures will be exempted. The exemption procedure will follow the materiality thresholds as defined in ESRB recommendation 2021/3.</t>
  </si>
  <si>
    <t>897</t>
  </si>
  <si>
    <t>BE.RECI.634</t>
  </si>
  <si>
    <t>Reciprocation of the French measure consisting of a tightening of large exposure limits applicable to highly indebted large non-financial corporations that are resident in France taken under Article 458 CRR.</t>
  </si>
  <si>
    <t>As laid out in Recommendation ESRB/2018/8</t>
  </si>
  <si>
    <t>BE.RECI.666</t>
  </si>
  <si>
    <t>Reciprocation of the Estonian measure which consists of 1-percent systemic risk bufer applied to all banks.The reciprocation holds for credit institutions established in Belgium for exposures through their branches located in Estonia and by direct cross-border activities in Estonia</t>
  </si>
  <si>
    <t>EUR 250 million as defined in ESRB 2019/1</t>
  </si>
  <si>
    <t>483</t>
  </si>
  <si>
    <t>BE.RECI.1567</t>
  </si>
  <si>
    <t>Reciprocation of the Portuguese 4 % sectoral systemic risk buffer rate on all IRB retail exposures to natural persons secured by residential immovable property for which the collateral is located in Portugal.</t>
  </si>
  <si>
    <t>1439</t>
  </si>
  <si>
    <t>BE.RECI.467</t>
  </si>
  <si>
    <t>Reciprocation of the Finnish minimum risk weight floor on housing loans provided by IRB credit institutions.</t>
  </si>
  <si>
    <t>€1 billion</t>
  </si>
  <si>
    <t>BE.RECI.939</t>
  </si>
  <si>
    <t>National Bank of Belgium made a decision to reciprocate a a 4.5% systemic risk buffer rate for exposures in Norway applied in accordance with Article 133 of Directive 2013/36/EU. Belgium reciprocates the measure in accordance with Regulation of 24 February 2016 of the National Bank of Belgium on the recognition of macroprudential measures, approved by Royal Decree of 20 May 2016. The NBB also deems it necessary to clarify that the reciprocation of the Norwegian systemic risk buffer rate only applies to exposures in Norway. Therefore, for Belgian credit institutions that do not use the advanced IRB approach, the 3% systemic risk buffer rate that was set by the Norwegian authority until 31 December 2022 should only apply to exposures in Norway.</t>
  </si>
  <si>
    <t>895</t>
  </si>
  <si>
    <t>BE.RECI.1631</t>
  </si>
  <si>
    <t>reciprocation of a 0,5 % systemic risk buffer rate on all credit risk exposures and counterparty credit risk exposures located in Italy, applicable from 31 December 2024 until 29 June 2025; increasing to a 1 % systemic risk buffer rate on all credit risk exposures and counterparty credit risk exposures located in Italy, applicable from 30 June 2025</t>
  </si>
  <si>
    <t>EUR 25 billion</t>
  </si>
  <si>
    <t>1531</t>
  </si>
  <si>
    <t>BG.NECI.359</t>
  </si>
  <si>
    <t>BG.NECI.1169</t>
  </si>
  <si>
    <t>Bulgarian National Bank has decided to not reciprocate the measure adopted by Lithuania of a 2% systemic risk buffer rate on all retail exposures to natural persons resident in the Republic of Lithuania that are secured by residential property.</t>
  </si>
  <si>
    <t>https://www.bnb.bg/AboutUs/PressOffice/POPressReleases/POPRDate/PR_20220728_4_EN</t>
  </si>
  <si>
    <t>BG.NECI.1558</t>
  </si>
  <si>
    <t>Bulgarian National Bank has decided not to reciprocate the sectoral SyRB by Denmark on exposures located in Denmark by non-financial corporations operating in real estate activities and in the development of building projects.</t>
  </si>
  <si>
    <t>https://www.bnb.bg/AboutUs/PressOffice/POPressReleases/POPRDate/PR_20240507_2_EN</t>
  </si>
  <si>
    <t>BG.NECI.358</t>
  </si>
  <si>
    <t>BG.NECI.1551</t>
  </si>
  <si>
    <t>Bulgarian National Bank has decided to not reciprocate the measure adopted by Germany of a sectoral SyRB of 2% secured for all exposures of individuals and legal entities secured by residential real estate located in Germany.</t>
  </si>
  <si>
    <t>1515</t>
  </si>
  <si>
    <t>BG.NECI.1173</t>
  </si>
  <si>
    <t>The Bulgarian National Bank has decided to not reciprocate the measure adopted by Sweden of a credit institution-specific floor of 25% for the exposure-weighted average of the risk weights applied to the portfolio of retail exposures to obligators, residing in Sweden, secured by immovable property, to credit institutions authorised in Sweden using the IRB approach.</t>
  </si>
  <si>
    <t>1046</t>
  </si>
  <si>
    <t>BG.NECI.1211</t>
  </si>
  <si>
    <t>Bulgarian National Bank has decided to not reciprocate the measure adopted by Norway of 35% average risk weight floor for commercial real estate exposures in Norway, to credit institutions authorised in Norway, using the IRB approach.</t>
  </si>
  <si>
    <t>BG.NECI.1557</t>
  </si>
  <si>
    <t>Bulgarian National Bank has decided not to reciprocate the sectoral SyRB by Portugal of 4% for IRB retail exposures secured by residential immovable property, for which the collateral is located in Portugal.</t>
  </si>
  <si>
    <t>BG.NECI.1556</t>
  </si>
  <si>
    <t>Bulgarian National Bank has decided not to reciprocate the Belgian sectoral systemic risk buffer for IRB retail exposures secured by residential immovable property of 6%.</t>
  </si>
  <si>
    <t>1414</t>
  </si>
  <si>
    <t>BG.NECI.1555</t>
  </si>
  <si>
    <t>Bulgarian National Bank has decided to not reciprocate the risk weight measure adopted by Sweden of 35% for certain corporate exposures secured by commercial properties and a risk weight floor of 25% for certain corporate exposures secured by residential properties.</t>
  </si>
  <si>
    <t>BG.NECI.1553</t>
  </si>
  <si>
    <t>Bulgarian National Bank has decided to not reciprocate the RRE RW floor measure adopted by Norway.</t>
  </si>
  <si>
    <t>1277</t>
  </si>
  <si>
    <t>BG.NECI.1172</t>
  </si>
  <si>
    <t>Bulgarian National Bank has decided to not reciprocate the measure adopted by Norway of  4.5% systemic risk buffer rate for exposures to all credit institutions  authorized in Norway</t>
  </si>
  <si>
    <t>BG.NECI.1212</t>
  </si>
  <si>
    <t>The Bulgarian National Bank has decided to not reciprocate the measure adopted by France of tightening of the large exposures limit (to 5 % of Tier 1 capital) to highly-indebted large non-financial corporations based in France (the measure applies to G-SIIs and O-SIIs).</t>
  </si>
  <si>
    <t>BG.NECI.1554</t>
  </si>
  <si>
    <t>Bulgarian National Bank has decided to not reciprocate the CRE RW floor measure adopted by Norway.</t>
  </si>
  <si>
    <t>1276</t>
  </si>
  <si>
    <t>BG.NECI.1552</t>
  </si>
  <si>
    <t>Bulgarian National Bank has decided to not reciprocate the SyRB measure adopted by Norway of 4.5%.</t>
  </si>
  <si>
    <t>1275</t>
  </si>
  <si>
    <t>BG.NECI.1171</t>
  </si>
  <si>
    <t>Bulgarian National Bank has decided to not reciprocate the measure adopted by Netherlands of a minimum average risk weight for credit institutions, authorised in the Netherlands, using the IRB approach, in relation to exposures to natural persons secured by residential property located in Netherlands (12% RW - to the portion of the loan not exceeding 55% of the market value of the property, and a 45% RW – to the remaining portion of the loan).</t>
  </si>
  <si>
    <t>1204</t>
  </si>
  <si>
    <t>BG.NECI.1170</t>
  </si>
  <si>
    <t>Bulgarian National Bank has decided to not reciprocate the measure adopted by Luxemburg of a legally binding loan-to-value (LTV) limits for new mortgage loans on residential real estate located in Luxemburg.</t>
  </si>
  <si>
    <t>BG.NECI.1167</t>
  </si>
  <si>
    <t>Bulgarian National Bank decided to not reciprocate the measures adopted by Belgium of 9% systemic risk buffer rate on all IRB retail exposures to natural persons secured by residential immovable property for which the collateral is located in Belgium.</t>
  </si>
  <si>
    <t>1099</t>
  </si>
  <si>
    <t>BG.NECI.1210</t>
  </si>
  <si>
    <t>Bulgarian National Bank has decided to not reciprocate the measure adopted by Norway of 20% average risk weight floor for residential real estate exposures in Norway, to credit institutions authorized in Norway, using the IRB approach.</t>
  </si>
  <si>
    <t>HR.NECI.1586</t>
  </si>
  <si>
    <t>Croatia decided not to reciprocate the Portugese sectoral systemic risk buffer rate of 4% on all IRB retail exposures to natural persons secured by residential immovable property for which the collateral is located in Portugal.</t>
  </si>
  <si>
    <t>https://www.hnb.hr/en/core-functions/financial-stability/cnb-s-macroprudential-policy/reciprocation-of-measures</t>
  </si>
  <si>
    <t>HR.RECI.487</t>
  </si>
  <si>
    <t>HR.RECI.374</t>
  </si>
  <si>
    <t>Reciprocation of the Belgian measure of 5 percentage point add-on to the risk weights of IRB credit institutions.</t>
  </si>
  <si>
    <t>2% of portfolio share</t>
  </si>
  <si>
    <t>HR.NECI.1647</t>
  </si>
  <si>
    <t>Non reciprocation of the Italian SyRB because the relevant exposures of Croatian banks are well below the institution-specific threshold of EUR 25 billion</t>
  </si>
  <si>
    <t>HR.RECI.372</t>
  </si>
  <si>
    <t>Reciprocation of Estonian systemic risk buffer. De minimis exemption is applied to credit institutions whose risk-weighted credit risk exposures in Estonia do not exceed 2% of total risk-weighted credit risk exposure.</t>
  </si>
  <si>
    <t>2% of total risk-weighted credit risk exposure</t>
  </si>
  <si>
    <t>Art. 134 CRD IV</t>
  </si>
  <si>
    <t>HR.NECI.968</t>
  </si>
  <si>
    <t>Hrvatska narodna banka (HNB) made a decision of non-reciprocating an average risk weight floor for residential real estate exposures in Norway, pursuant to Article 458(2)(d)(vi) of the CRR. The HNB decided to non-reciprocate since there are no credit institutions in Republic of Croatia having exposures referred to above that would exceed the prescribed institution-specific materiality thresholds, as per "de minimis" principle".</t>
  </si>
  <si>
    <t>HR.NECI.1165</t>
  </si>
  <si>
    <t>Hrvatska Naroda Banka decided to not reciprocate the German measure of 2 % systemic risk buffer rate on all IRB exposures secured by residential property, and on all SA-based exposures fully and completely secured by residential property.</t>
  </si>
  <si>
    <t>HR.NECI.1158</t>
  </si>
  <si>
    <t>Hrvatska narodna banka decided to not reciprocate the measure of Lithuana, a 2 % systemic risk buffer rate for all retail exposures to natural persons resident in the Republic of Lithuania that are secured by residential property, because there are no direct cross-border exposures of the Croatian banking sector.</t>
  </si>
  <si>
    <t>HR.NECI.967</t>
  </si>
  <si>
    <t>Hrvatska narodna banka (HNB) made a decision of non-reciprocating a 4.5% systemic risk buffer requirement for exposures in Norway, pursuant to Article 133 of the CRD. The HNB decided to non reciprocate since there are no credit institutions in Republic of Croatia having exposures referred to above that would exceed the prescribed institution-specific materiality thresholds, as per "de minimis" principle.</t>
  </si>
  <si>
    <t>HR.NECI.966</t>
  </si>
  <si>
    <t>Hrvatska narodna banka (HNB) made a decision of non reciprocate Luxembourg LTV. HNB decided to non-reciprocate the measure since total exposure of Croatian banking sector to mortgage market in Luxembourg is non-significant and there are no credit institutions in Republic of Croatia having exposures that would exceed the recommended institution-specific materiality threshold, as per "de minimis" principle.</t>
  </si>
  <si>
    <t>HR.NECI.701</t>
  </si>
  <si>
    <t>Non-reciprocation of the Swedish article 458  measure (a credit insitution-specific floor of 25 per cent for the exposure-weighted average of the risk weights applied to the portfolio of retail exposures to obligors residing in Sweden secured by immovable property).</t>
  </si>
  <si>
    <t>HR.NECI.1145</t>
  </si>
  <si>
    <t>Hrvatska narodna banka has decided to not reciprocate the Dutch risk weight measure as relevant exposures of the IRB credit institutions authorised in Croatia are immaterial and below the recommended institution-specific materiality threshold.</t>
  </si>
  <si>
    <t>HR.NECI.700</t>
  </si>
  <si>
    <t>Non-reciprocation of the French macroprudential measure consisting of limiting of large exposures of highly-indebted large nonfinancial corporations having their registered office in France to 5 per cent of eligible capital.</t>
  </si>
  <si>
    <t>HR.NECI.1484</t>
  </si>
  <si>
    <t>Hrvatska Narodna Banka decided not to reciprocate the Swedish measure regarding risk weight floors on corporate exposures of IRB banks, secured by commercial and residential properties.</t>
  </si>
  <si>
    <t>SEK 5 billion</t>
  </si>
  <si>
    <t>Art 458 CRR</t>
  </si>
  <si>
    <t>HR.NECI.969</t>
  </si>
  <si>
    <t>Hrvatska narodna banka (HNB) made a decision of non reciprocating an average risk weight floor for commercial real estate exposures in Norway, pursuant to Article 458(2)(d)(vi) of the CRR. The HNB decided to non reciprocate since there are no credit institutions in Republic of Croatia having exposures referred to above that would exceed the prescribed institution-specific materiality thresholds, as per "de minimis" principle".</t>
  </si>
  <si>
    <t>HR.NECI.1648</t>
  </si>
  <si>
    <t>Non reciprocation of the Danish sectoral SyRB on all types of exposures located in Denmark to NFCs operating in real estate activities and in the development of building projects. The relevant exposures of Croatian banks are well below the institution-specific threshold of EUR 200 million.</t>
  </si>
  <si>
    <t>HR.RECI.656</t>
  </si>
  <si>
    <t>Reciprocation of the Belgian measure of 5 percentage point add-on to the risk weights of IRB credit institutions and of a proportionnate risk-weight add-on consisting of 33 per cent of the exposure-weighted average of the risk-weights applied to the portfolio of retail exposures secured by residential immovable property located in Belgium.</t>
  </si>
  <si>
    <t>De minimis exemption applies to all credit institutions whose retail mortgage exposures secured by residential immovable property, for which the collateral is located in Belgium, do not exceed EUR 2 bn.</t>
  </si>
  <si>
    <t>HR.NECI.1148</t>
  </si>
  <si>
    <t>Hrvatska narodna banka has decided to not reciprocate the Belgian SyRB as the Croatian banks' exposures to Belgium are immaterial and below the recommended institution-specific materiality threshold.</t>
  </si>
  <si>
    <t>HR.RECI.702</t>
  </si>
  <si>
    <t>Amendment to the reciprocation of the Estonian measure which consists of 1-percent systemic risk bufer applied to all banks following ESRB Recommendation ESRB/2019/1. A de minimis exemption shall now apply to credit institutions whose exposures located in Estonia are below the materiality threshold of EUR 250 million.</t>
  </si>
  <si>
    <t>CY.RECI.366</t>
  </si>
  <si>
    <t>Reciprocation of the Belgian measure of 5 percentage point add-on to the risk weights of IRB credit institutions taken under Art. 458 CRR.</t>
  </si>
  <si>
    <t>https://www.centralbank.cy/en/financial-stability/macroprudential-policy-decisions/reciprocity-of-macroprudential-measures/belgium</t>
  </si>
  <si>
    <t>CY.RECI.368</t>
  </si>
  <si>
    <t>Reciprocation of Estonian SRB.</t>
  </si>
  <si>
    <t>https://www.centralbank.cy/en/financial-stability/macroprudential-policy-decisions/reciprocity-of-macroprudential-measures/estonia</t>
  </si>
  <si>
    <t>CY.NECI.477</t>
  </si>
  <si>
    <t>CY.NECI.1664</t>
  </si>
  <si>
    <t>the Central Bank of Cyprus decided not to reciprocate the measure adopted by Portugal, as there are no Cyprus institutions that follow the IRB approach for calculating their capital requirements and therefore, the Portuguese measure is not directly applicable to Cyprus institutions.</t>
  </si>
  <si>
    <t>https://www.centralbank.cy/en/financial-stability/macroprudential-policy-decisions/reciprocity-of-macroprudential-measures</t>
  </si>
  <si>
    <t>CY.NECI.1017</t>
  </si>
  <si>
    <t>Central Bank of Cyprus (CBC) has decided to not reciprocate the measure of Norway to apply a 35% average risk weight floor for commercial real estate exposures in Norway.</t>
  </si>
  <si>
    <t>CY.NECI.667</t>
  </si>
  <si>
    <t>Non-reciprocation of the Estonian measure which consists of 1-percent systemic risk bufer applied to all banks.</t>
  </si>
  <si>
    <t>CY.NECI.1536</t>
  </si>
  <si>
    <t>The Central Bank of Cyprus (CBC) made a decision of non-recirpocation of Belgian Systemic risk buffer (SyRB). 
The Belgian Central Bank has implemented a 6% sectoral SyRB for  IRB retail exposures secured by residential immovable property. The measure applies to credit institutions in Belgium using the internal ratings based (IRB) approach for calculating their regulatory capital requirements. The CBC decided not to reciprocate the Belgian Systemic risk buffer (SyRB) measure adopted in Belgium, as there are no Cyprus institutions that follow the IRB approach for calculating their capital requirements and therefore the Belgian measure is not directly applicable for Cyprus credit institutions.</t>
  </si>
  <si>
    <t>CY.NECI.625</t>
  </si>
  <si>
    <t>CY.NECI.1483</t>
  </si>
  <si>
    <t>The Central Bank of Cyprus decided not to reciprocate the Swedish measure regarding risk weight floors on corporate exposures of IRB banks, secured  by commercial and residential properties.</t>
  </si>
  <si>
    <t>https://www.centralbank.cy/en/financial-stability/macroprudential-policy-decisions/reciprocity-of-macroprudential-measures/reciprocity-table</t>
  </si>
  <si>
    <t>CY.NECI.669</t>
  </si>
  <si>
    <t>CY.NECI.1663</t>
  </si>
  <si>
    <t>The Central Bank of Cyprus decided not to reciprocate the measure adopted by Denmark, since Cyprus has
no exposures to NFCs operating in the targeted sectors in Denmark, that the sSyRB is applied to.</t>
  </si>
  <si>
    <t>CY.NECI.1482</t>
  </si>
  <si>
    <t>The Central Bank of Cyprus decided not to reciprocate the Norwegian measure regarding a 20% risk weight floor for Norwegian residential real estate exposures.</t>
  </si>
  <si>
    <t>CY.NECI.1502</t>
  </si>
  <si>
    <t>The Central Bank of Cyprus decided not to reciprocate the measure adopted by Germany on a 2% systemic risk buffer rate applied on all exposures (i.e. retail and non-retail) to natural and legal persons that are secured by residential real estate located in Germany.</t>
  </si>
  <si>
    <t>CY.NECI.1481</t>
  </si>
  <si>
    <t>The Central Bank of Cyprus decided not to reciprocate the Norwegian measure of a 35% average risk weight floor for commercial real estate exposures in Norway.</t>
  </si>
  <si>
    <t>CY.NECI.1015</t>
  </si>
  <si>
    <t>Central Bank of Cyprus (CBC) made the decision of not reciprocating Norways measure of the 4.5% SyRB for exposures in Norway to all credit institutions authorised in Norway.</t>
  </si>
  <si>
    <t>CY.NECI.1480</t>
  </si>
  <si>
    <t>The Central Bank of Cyprus decided not to reciprocate the Norwegian systemic risk buffer.</t>
  </si>
  <si>
    <t>Art 134 CRD</t>
  </si>
  <si>
    <t>CY.NECI.668</t>
  </si>
  <si>
    <t>CY.NECI.1016</t>
  </si>
  <si>
    <t>Central Bank of Cyprus (CBC) took the decision to not reciprocate hat measure of Norway to apply a 20% average risk weight floor for residential real estate exposures in Norway.</t>
  </si>
  <si>
    <t>CY.NECI.1018</t>
  </si>
  <si>
    <t>Central Bank of Cyprus (CBC) has decided to not reciprocate the measure of Luxembourg to apply a  LTV limit of 100% for first-time buyers acquiring their primary residence, LTV limit of 90% for other buyers i.e. non first-time buyers acquiring their primary residence, LTV limit of 80% for other mortgage loans (including the buy-to-let segment).</t>
  </si>
  <si>
    <t>CY.NECI.1132</t>
  </si>
  <si>
    <t>Central Bank of Cyprus (CBC) decided not to reciprocate the measures adopted by the Netherlands on a minimum average risk weight applied in accordance, with Article 458(2)(d)(vi) of Regulation (EU) No 575/2013, to credit institutions authorised in the Netherlands, using the IRB approach for calculating regulatory capital requirements in relation to their portfolios of exposures to natural persons secured by residential property located in the Netherlands.</t>
  </si>
  <si>
    <t>CY.NECI.1306</t>
  </si>
  <si>
    <t>The Central Bank of Cyprus decided to not reciprocate the Belgium SyRB.</t>
  </si>
  <si>
    <t>CY.NECI.1131</t>
  </si>
  <si>
    <t>Central Bank of Cyprus (CBC) decided not to reciprocate of the measures adopted by Lithuania on a 2 % systemic risk buffer rate for all retail exposures to natural persons resident in the Republic of Lithuania that are secured by residential property.</t>
  </si>
  <si>
    <t>CZ.NECI.1376</t>
  </si>
  <si>
    <t>The Central Bank of the Czech Republic has decided not to reciprocate the Norwegian 35% RW floor for CRE exposures</t>
  </si>
  <si>
    <t>https://www.cnb.cz/en/financial-stability/macroprudential-policy/mutual-recognition-of-macroprudential-measures-reciprocity/macroprudential-measures-norway-00001/</t>
  </si>
  <si>
    <t>CZ.NECI.1375</t>
  </si>
  <si>
    <t>The Central Bank of the Czech Republic has decided not to reciprocate the Norwegian 20% RW floor for RRE exposures,</t>
  </si>
  <si>
    <t>CZ.NECI.654</t>
  </si>
  <si>
    <t>https://www.cnb.cz/en/financial-stability/macroprudential-policy/mutual-recognition-of-macroprudential-measures-reciprocity/macroprudential-measures-sweden/</t>
  </si>
  <si>
    <t>CZ.NECI.1440</t>
  </si>
  <si>
    <t>The Czech National Bank (CNB) has decided not to reciprocate the Swedish 35% and 25% risk weight floors for corporate exposures secured by commercial properties and residential properties respectively, as the relevant exposures of domestic banks do not meet the materiality threshold.</t>
  </si>
  <si>
    <t>CRR art. 458</t>
  </si>
  <si>
    <t>https://www.cnb.cz/en/financial-stability/macroprudential-policy/mutual-recognition-of-macroprudential-measures-reciprocity/macroprudential-measures-sweden-00001/</t>
  </si>
  <si>
    <t>CZ.NECI.1197</t>
  </si>
  <si>
    <t>The Central Bank of the Czech Republic has decided not te reciprocate the 2% Systemic Risk Buffer rate set by the Central Bank of Lithuania for all retail exposure to all natural persons resident in the Republic of Lithuania that are secured by residential property.</t>
  </si>
  <si>
    <t>https://www.cnb.cz/en/financial-stability/macroprudential-policy/mutual-recognition-of-macroprudential-measures-reciprocity/macroprudential-measures-lithuania/</t>
  </si>
  <si>
    <t>CZ.NECI.972</t>
  </si>
  <si>
    <t>Česká národní banka made a decision of non-reciprocating Luxembourg LTV. Česká národní banka is not reciprocating the measure because residential mortgage loans exposures for which the collateral is located in Luxembourg are non-material (effectively zero) in the Czech banking sector. Moreover, Czech banks have no branches in Luxembourg. Česká národní banka will continue to periodically review the exposures in Luxembourg and will change its decision if the circumstances require it.</t>
  </si>
  <si>
    <t>https://www.cnb.cz/en/financial-stability/macroprudential-policy/mutual-recognition-of-macroprudential-measures-reciprocity/macroprudential-measures-luxembourg/</t>
  </si>
  <si>
    <t>CZ.NECI.973</t>
  </si>
  <si>
    <t>Česká národní banka made a decision of non-reciprocating a 4,5 % systemic risk buffer rate for exposures in Norway, applied in accordance with Article 133 of Directive 2013/36/EU. Česká národní banka is not reciprocating the measures  because relevant exposures are non-material (effectively zero) in the Czech banking sector. Moreover, Czech banks have no branches in Norway. Česká národní banka will continue to periodically review the exposures in Norway and will change its decision if the circumstances require it.</t>
  </si>
  <si>
    <t>https://www.cnb.cz/en/financial-stability/macroprudential-policy/mutual-recognition-of-macroprudential-measures-reciprocity/macroprudential-measures-norway/</t>
  </si>
  <si>
    <t>CZ.NECI.285</t>
  </si>
  <si>
    <t>https://www.cnb.cz/en/financial-stability/macroprudential-policy/mutual-recognition-of-macroprudential-measures-reciprocity/makroobezretostni-opatreni-belgie/</t>
  </si>
  <si>
    <t>CZ.NECI.1622</t>
  </si>
  <si>
    <t>Non reciprocation of a 7 % sectoral systemic risk buffer rate on all types of exposures located in Denmark to non-financial corporations operating in real estate activities and in the development of building projects</t>
  </si>
  <si>
    <t>CZ.NECI.1179</t>
  </si>
  <si>
    <t>Czech republic is not reciprocating the measure of the Netherlands, which was a minimum average risk weight applied by credit institutions using the IRB approach in relation to thei portfolios of exposures to naturel persons secured by residential property located in the Netherlands.</t>
  </si>
  <si>
    <t>https://www.cnb.cz/en/financial-stability/macroprudential-policy/mutual-recognition-of-macroprudential-measures-reciprocity/macroprudential-measures-netherlands/</t>
  </si>
  <si>
    <t>CZ.NECI.479</t>
  </si>
  <si>
    <t>https://www.cnb.cz/en/financial-stability/macroprudential-policy/mutual-recognition-of-macroprudential-measures-reciprocity/makroobezretostni-opatreni-finsko/</t>
  </si>
  <si>
    <t>CZ.RECI.272</t>
  </si>
  <si>
    <t>Reciprocation of 1-percent SRB rate applied to the domestic exposures of all credit institutions authorised in Estonia through SRB rate applicable to total exposures (including any cross-boarder exposures) to Estonia of the systematically most important credit institutions authorised in the Czech Republic.</t>
  </si>
  <si>
    <t>The targeted risks are already covered by the SyRB for the 5 systemically most important banks in the Czech Republic, as the SyRB buffer rate imposed by the Czech National Bank is at least 1% for these institutions and applies to all exposures, including cross-border exposures to counterparties established in Estonia.</t>
  </si>
  <si>
    <t>https://www.cnb.cz/en/financial-stability/macroprudential-policy/mutual-recognition-of-macroprudential-measures-reciprocity/makroobezretostni-opatreni-estonsko/</t>
  </si>
  <si>
    <t>CZ.NECI.1623</t>
  </si>
  <si>
    <t>non-reciprocation of a sectoral systemic risk buffer rate of 0.5 % which will apply from 31 December 2024 to all credit risk exposures and counterparty credit risk exposures in Italy. The measure in Italy will increase to 1 % from 30 June 2025.</t>
  </si>
  <si>
    <t>CZ.NECI.1681</t>
  </si>
  <si>
    <t>non-reciprocation of:
6% sSyRB rate on all IRB retail exposures secured by residential immovable property for which the collateral (immovable property) is located in Belgium. 
Česká národní banka is not reciprocating the measure because relevant exposures are immaterial and the de minimis threshold is not exceeded on any level of consolidation.</t>
  </si>
  <si>
    <t>CZ.NECI.1198</t>
  </si>
  <si>
    <t>The central bank of the Czech Republic had decided not to reciprocate a 9 % systemic risk buffer rate by the central bank of Belgium on all IRB retail exposures secured by residential immovable property for which the collateral is located in Belgium.</t>
  </si>
  <si>
    <t>https://www.cnb.cz/en/financial-stability/macroprudential-policy/mutual-recognition-of-macroprudential-measures-reciprocity/macroprudential-measures-belgium/</t>
  </si>
  <si>
    <t>CZ.NECI.1374</t>
  </si>
  <si>
    <t>The Central Bank of the Czech Republic has decided not to reciprocate the Norwegian 4.5% systemic risk buffer rate</t>
  </si>
  <si>
    <t>CZ.NECI.621</t>
  </si>
  <si>
    <t>https://www.cnb.cz/en/financial-stability/macroprudential-policy/mutual-recognition-of-macroprudential-measures-reciprocity/macroprudential-measures-france/</t>
  </si>
  <si>
    <t>CZ.NECI.974</t>
  </si>
  <si>
    <t>Česká národní banka made a decision of non-reciprocating a 20 % average risk weight floor for Norwegian residential real estate exposures in Norway, applied in accordance with Article 458(2)(d)(vi) of Regulation (EU) No 575/2013. Česká národní banka is not reciprocating the measures  because relevant exposures are non-material (effectively zero) in the Czech banking sector. Moreover, Czech banks have no branches in Norway. Česká národní banka will continue to periodically review the exposures in Norway and will change its decision if the circumstances require it.</t>
  </si>
  <si>
    <t>CZ.NECI.622</t>
  </si>
  <si>
    <t>https://www.cnb.cz/en/financial-stability/macroprudential-policy/mutual-recognition-of-macroprudential-measures-reciprocity/macroprudential-measures-belgium-2018/</t>
  </si>
  <si>
    <t>CZ.NECI.975</t>
  </si>
  <si>
    <t>Česká národní banka made a decision of non-reciprocating a 35 % average risk weight floor for commercial real estate exposures in Norway, applied in accordance with Article 458(2)(d)(vi) of the CRR. The risk weight floor would be applicable for all Norwegian institutions with the relevant exposures and using the Internal Ratings Based Approach (IRB institutions). Česká národní banka is not reciprocating the measures  because relevant exposures are non-material (effectively zero) in the Czech banking sector. Moreover, Czech banks have no branches in Norway. Česká národní banka will continue to periodically review the exposures in Norway and will change its decision if the circumstances require it.</t>
  </si>
  <si>
    <t>CZ.NECI.1534</t>
  </si>
  <si>
    <t>Česká národní banka
 decided not to reciprocate the 6% Belgian sectoral SyRB rate on all IRB retail exposures secured by residential immovable property for which the collateral (immovable property) is located in Belgium.</t>
  </si>
  <si>
    <t>EUR 50 million</t>
  </si>
  <si>
    <t>Art. 134(2) CRD</t>
  </si>
  <si>
    <t>https://www.cnb.cz/en/financial-stability/macroprudential-policy/mutual-recognition-of-macroprudential-measures-reciprocity/</t>
  </si>
  <si>
    <t>DK.RECI.991</t>
  </si>
  <si>
    <t>The Danish Ministry of Industry, Business and Financial Affairs made a decision of reciprocate Norway Article 458 for RRE exposure. The Danish Ministry of Industry, Business and Financial Affairs decided to reciprocate since one Danish credit institution has relevant exposures above the materiality thresholds set by the Norwegian Ministry of Finance. The Danish FSA will continuously monitor whether other institutions will reach exposures above the thresholds.</t>
  </si>
  <si>
    <t>Credit institutions falling below the materiality thresholds specified in the recommendation are exempted from the measure.</t>
  </si>
  <si>
    <t>DK.RECI.1510</t>
  </si>
  <si>
    <t>Reciprocation of the Norwegian 4.5% systemic risk buffer rate.</t>
  </si>
  <si>
    <t>NOK 5 billion</t>
  </si>
  <si>
    <t>Art 134(2) CRD</t>
  </si>
  <si>
    <t>DK.RECI.99</t>
  </si>
  <si>
    <t>Reciprocation of tighter model requirements by Finanstilsynet (Norwegian FSA) for mortgage lending by IRB banks.</t>
  </si>
  <si>
    <t>149</t>
  </si>
  <si>
    <t>https://www.finanstilsynet.dk/Nyheder-og-Presse/Sektornyt/2014/Risikovaegte-boliglaan-Norge-080414</t>
  </si>
  <si>
    <t>DK.RECI.470</t>
  </si>
  <si>
    <t>DK.RECI.639</t>
  </si>
  <si>
    <t>DK.NECI.1203</t>
  </si>
  <si>
    <t>The Danish Financial Supervisory Authority decided top not reciprocate the German systemic risk buffer, because all Danish credit institutions have an exposure that is well below the threshold.</t>
  </si>
  <si>
    <t>10 bn.</t>
  </si>
  <si>
    <t>DK.RECI.706</t>
  </si>
  <si>
    <t>Reciprocation of the Swedish article 458  measure (a credit insitution-specific floor of 25 per cent for the exposure-weighted average of the risk weights applied to the portfolio of retail exposures to obligors residing in Sweden secured by immovable property, to credit institutions authorised in Sweden and using the IRB Approach for calculating regulatory capital requirements.)</t>
  </si>
  <si>
    <t>DK.RECI.589</t>
  </si>
  <si>
    <t>Reciprocation of the Belgian measure of 5 percentage point add-on to the risk weights of IRB credit institutions, and a proportionate risk-weight add-on consisting of 33 per cent of the exposure-weighted average of the risk-weights applied to the portfolio of retail exposures secured by residential immovable property located in Belgium.</t>
  </si>
  <si>
    <t>DK.RECI.337</t>
  </si>
  <si>
    <t>€200 million</t>
  </si>
  <si>
    <t>DK.NECI.933</t>
  </si>
  <si>
    <t>Danish Financial Supervisory Authority made a decision of non-reciprocation of the Luxembourg LTV. The non-reciprocation decision is based on the "de minimis" principle. (a)	All Danish intuitions are exempted, as total lending to households located in Luxembourg fall well below the materiality threshold of EUR 350 million. In addition, all individual institutions falls below the intuition-specific materiality threshold. (b)	Total exposure from Danish credit institutions, to households in Luxembourg, was EUR 48.7 million. this also includes lending not secured by real-estate. (c)	The DFSA will continue to monitor lending to households outside Denmark</t>
  </si>
  <si>
    <t>DK.RECI.992</t>
  </si>
  <si>
    <t>The Danish Ministry of Industry, Business and Financial Affairs made a decision of reciprocate Norway Article 458 for CRE exposure. The Danish Ministry of Industry, Business and Financial Affairs decided to reciprocate since one Danish credit institution has relevant exposures above the materiality thresholds set by the Norwegian Ministry of Finance. The Danish FSA will continuously monitor whether other institutions will reach exposures above the thresholds.</t>
  </si>
  <si>
    <t>Credit institutions falliwing below the materiality thresholds specified in the recommendation are exempted from the measure.</t>
  </si>
  <si>
    <t>DK.RECI.269</t>
  </si>
  <si>
    <t>DK.RECI.101</t>
  </si>
  <si>
    <t>Reciprocation of risk weight floor of 25% for Swedish mortgage loans by IRB banks.</t>
  </si>
  <si>
    <t>178</t>
  </si>
  <si>
    <t>https://www.finanstilsynet.dk/da/Nyhedscenter/Sektornyt/2014/Skaerpet-risikovaegtsgulv-svenske-boliglaan-230914.aspx</t>
  </si>
  <si>
    <t>EE.NECI.570</t>
  </si>
  <si>
    <t>EE.NECI.998</t>
  </si>
  <si>
    <t>Eesti Pank made a decision of non-reciprocating Norway Article 458 for CRE exposure. Eesti Pank decided to non-reciprocate since the volume of exposures targeted by the measures remaining significantly below the materiality thresholds.</t>
  </si>
  <si>
    <t>EE.NECI.1476</t>
  </si>
  <si>
    <t>Eesti Pank decided not to reciprocate the Swedish measure regarding a 25%  risk weight floor for retail exposures of IRB banks secured by immovable property in Sweden.</t>
  </si>
  <si>
    <t>EE.NECI.637</t>
  </si>
  <si>
    <t>EE.NECI.1615</t>
  </si>
  <si>
    <t>Eesti Pank has decided not to reciprocate the measure activated by Italy as the total of relevant exposures of credit institutions authorised in Estonia is around 20 million euros. Hence the exposures remain well below the materiality threshold provided in the ESRB Recommendation (ESRB/2024/2).
Eesti Pank commits to reviewing credit institutions’ relevant exposures in Italy at least on an annual basis and will initiate the process to reciprocate the measure if necessary.</t>
  </si>
  <si>
    <t>EE.NECI.996</t>
  </si>
  <si>
    <t>Eesti Pank made a decision of non-reciprocate Norway SyRB 4.5%. Eesti Pank decided to non-reciprocate since the volume of exposures targeted by the measures remaining significantly below the materiality thresholds.</t>
  </si>
  <si>
    <t>EE.NECI.1560</t>
  </si>
  <si>
    <t>Eesti Pank decided not to reciprocate the Portuguese SyRB of 4 % on all IRB retail exposures to natural persons secured by residential immovable property for which the collateral is located in Portugal.</t>
  </si>
  <si>
    <t>EE.NECI.1559</t>
  </si>
  <si>
    <t>Eesti Pank decided not to reciprocate the Danish sectoral SyRB on all types of exposures located in Denmark to non-financial corporations operating in real estate activities and in development of building projects, identified in accordance with the statistical classification of economic activities in the Union (NACE), set out in Regulation (EC) No 1893/2006.</t>
  </si>
  <si>
    <t>EE.NECI.476</t>
  </si>
  <si>
    <t>EE.NECI.1475</t>
  </si>
  <si>
    <t>Eesti Pank decided not to reciprocate the Swedish measure regarding  risk weight floors for commercial exposures of IRB banks secured by commercial and residential properties.</t>
  </si>
  <si>
    <t>EE.NECI.995</t>
  </si>
  <si>
    <t>Eesti Pank made a decision of non-reciprocate Luxembourg LTV measure. Eesti Pank decided to non-reciprocate since the volume of exposures targeted by the measure remaining significantly below the materiality thresholds.</t>
  </si>
  <si>
    <t>EE.NECI.1177</t>
  </si>
  <si>
    <t>Eesti Pank decided to not reciprocate the German measure of a 2 % systemic risk buffer rate on all exposures to natural and legal persons that are secured by residential real estate located in Germany, because Estonian credit institutions have no exposure targeted by the measure</t>
  </si>
  <si>
    <t>EE.NECI.339</t>
  </si>
  <si>
    <t>EE.NECI.638</t>
  </si>
  <si>
    <t>EE.NECI.997</t>
  </si>
  <si>
    <t>Eesti Pank made a decision of non-reciprocate Norway Article 458 for RRE exposure. Eesti Pank decided to non-reciprocate since the volume of exposures targeted by the measures remaining significantly below the materiality thresholds.</t>
  </si>
  <si>
    <t>FI.NECI.626</t>
  </si>
  <si>
    <t>FI.RECI.1493</t>
  </si>
  <si>
    <t>Finland decided to reciprocate the Swedish measure on risk weight floors of 25% for mortgages.</t>
  </si>
  <si>
    <t>yes</t>
  </si>
  <si>
    <t>1437</t>
  </si>
  <si>
    <t>FI.NECI.344</t>
  </si>
  <si>
    <t>2019-01-01 00:00:00</t>
  </si>
  <si>
    <t>FI.RECI.1329</t>
  </si>
  <si>
    <t>The Finnish Financial Supervisory Authority FIN-FSA has decided to reciprocate the Norwegian measure of systemic risk buffer at a 3.5% rate to all Finnish credit institutions whose risk-weighted exposure in Norway exceed 5 billion Norwegian krone.</t>
  </si>
  <si>
    <t>Finnish credit institutions whose risk-weighted exposure in Norway is below 5 billion Norwegian krone are exempted from applying the reciprocated measure.</t>
  </si>
  <si>
    <t>FI.NECI.684</t>
  </si>
  <si>
    <t>FI.RECI.1407</t>
  </si>
  <si>
    <t>The Finnish authority decided to reciprocate the Swedish measure of a risk weight floor of 35% for certain corporate exposures secured by commercial properties and a risk weight floor of 25% for certain corporate exposures secured by residential properties pursuant to Article 458(2)(d)(iv) of Regulation (EU) NO 575/2013 for all credit institutions registered in Finlande.</t>
  </si>
  <si>
    <t>Yes</t>
  </si>
  <si>
    <t>Art. 458</t>
  </si>
  <si>
    <t>https://www.finanssivalvonta.fi/en/financial-market-stability/macroprudential/macroprudential-decisions-and-appendices/macroprudential-decisions-2023/macroprudential-decision-27-september-2023/</t>
  </si>
  <si>
    <t>FI.RECI.1305</t>
  </si>
  <si>
    <t>Finland decided to continue the reciprocating of the Norwegian CRE risk weight floors.</t>
  </si>
  <si>
    <t>https://www.finanssivalvonta.fi/en/publications-and-press-releases/supervision-releases/2023/board-of-financial-supervisory-authority-extends-period-of-application-of-risk-weight-floors-for-residential-and-commercial-real-estate-exposures-located-in-norway/</t>
  </si>
  <si>
    <t>FI.RECI.463</t>
  </si>
  <si>
    <t>Reciprocation of Estonian systemic risk buffer.</t>
  </si>
  <si>
    <t>http://www.finanssivalvonta.fi/en/Publications/Press_releases/Pages/10_2018.aspx</t>
  </si>
  <si>
    <t>FI.RECI.993</t>
  </si>
  <si>
    <t>The Finnish Financial Supervisory Authority (FIN-FSA) made a decision of reciprocate the Norway Article 458 for RRE exposure.</t>
  </si>
  <si>
    <t>NOK 32.3 billion</t>
  </si>
  <si>
    <t>Finnish credit institutions having non-material exposures in Norway have been exempted from applying the reciprocated measures. Exposures are deemed non-material if they are below the institution-specific materiality thresholds.</t>
  </si>
  <si>
    <t>https://www.finanssivalvonta.fi/en/publications-and-press-releases/supervision-releases/2021/the-board-of-the-financial-supervisory-authority-adopts-the-risk-weight-floors-for-norwegian-residential-and-commercial-real-estate-exposures/</t>
  </si>
  <si>
    <t>FI.RECI.994</t>
  </si>
  <si>
    <t>The Finnish Financial Supervisory Authority (FIN-FSA) made a decision of reciprocate the Norway Article 458 for CRE exposure.</t>
  </si>
  <si>
    <t>NOK 7.6 billion</t>
  </si>
  <si>
    <t>Finnish credit institutions having non-material exposures in Norway have been exempted from applying the reciprocated measures.</t>
  </si>
  <si>
    <t>FI.RECI.1417</t>
  </si>
  <si>
    <t>Finland decided to continue the reciprocating of the Norwegian RRE risk weight floors.</t>
  </si>
  <si>
    <t>FI.RECI.628</t>
  </si>
  <si>
    <t>Reciprocation of the average institution-specific risk weight floor of 25 per cent for Swedish mortgage exposures measure, applicable to credit institutions that have adopted the Internal Ratings-Based Approach for credit risk.
On 2022/02/22, FIN-FSA confirmed the continuation of the reciprocation of the Swedish measure.</t>
  </si>
  <si>
    <t>https://www.finanssivalvonta.fi/globalassets/en/publications/press-releases/2018/mv_q4_201218/macroprudential_decision_q4_2018.pdf</t>
  </si>
  <si>
    <t>FR.RECI.106</t>
  </si>
  <si>
    <t>Five percentage point increase in risk-weights applied by French credit institutions using the internal-ratings based (IRB) approach to their residential mortgage loans exposures for which the collateral is located in Belgium</t>
  </si>
  <si>
    <t>Art 458(9) CRR</t>
  </si>
  <si>
    <t>http://www.economie.gouv.fr/files/files/directions_services/hcsf/Decision_D-HCSF-2016-1_du_15_mars_2016.pdf</t>
  </si>
  <si>
    <t>FR.RECI.312</t>
  </si>
  <si>
    <t>Reciprocation of 1-percent systemic risk buffer rate applied to exposures located in Estonia originated by financial institutions supervised in France through their branches located in Estonia and direct exposures of French banking groups to counterparties located in Estonia.</t>
  </si>
  <si>
    <t>http://www.economie.gouv.fr/files/files/directions_services/hcsf/Decision_n%C2%B0D-HCSF-2016-5.pdf</t>
  </si>
  <si>
    <t>FR.RECI.1237</t>
  </si>
  <si>
    <t>Haut Conseil de stabilité financière (HCSF) decided to reciprocate the Dutch measure of a Minimum average risk weight  regarding exposures to natural persons secured by residential immovable propery located in the Netherlands.</t>
  </si>
  <si>
    <t>EUR 5 billion</t>
  </si>
  <si>
    <t>https://www.economie.gouv.fr/files/files/directions_services/hcsf/Decision_HCSF_2022_09_DNB_PaysBas.pdf?v=1690290177</t>
  </si>
  <si>
    <t>FR.RECI.712</t>
  </si>
  <si>
    <t>The measure reciprocated establishing a credit institution-specific floor of 25 per cent for the exposure-weighted average of the risk weights applied to the portfolio of retail exposures to obligors residing in Sweden secured by immovable property.</t>
  </si>
  <si>
    <t>EUR 500 million</t>
  </si>
  <si>
    <t>https://www.economie.gouv.fr/files/files/directions_services/hcsf/Decision_D-HCSF-2019-5.pdf?v=1641491856</t>
  </si>
  <si>
    <t>FR.RECI.964</t>
  </si>
  <si>
    <t>Haut Conseil de stabilité financière (HCSF) made a decision of reciprocating an institution-specific 20% average risk weight floor for loans to natural persons for purchasing immovable property in Norway.</t>
  </si>
  <si>
    <t>EUR 3.19 billion</t>
  </si>
  <si>
    <t>https://www.economie.gouv.fr/files/files/directions_services/hcsf/D%C3%A9cision%20D-HCSF-2021-4.pdf?v=1641491856</t>
  </si>
  <si>
    <t>FR.RECI.1234</t>
  </si>
  <si>
    <t>Haut Conseil de stabilité financière (HCSF) decided to reciprocate the Belgian measure of a Systemic Risk Buffer at a 9% rate regarding exposures to natural persons secured by residential immovable property located in Belgium.</t>
  </si>
  <si>
    <t>EUR 2 billion</t>
  </si>
  <si>
    <t>https://www.economie.gouv.fr/files/files/directions_services/hcsf/Decision_HCSF_2022_09_BNB.pdf?v=1690290177</t>
  </si>
  <si>
    <t>FR.RECI.610</t>
  </si>
  <si>
    <t>https://www.economie.gouv.fr/files/files/directions_services/hcsf/Decision_D-HCSF-2018-4.pdf?v=1641491856</t>
  </si>
  <si>
    <t>FR.RECI.963</t>
  </si>
  <si>
    <t>Haut Conseil de stabilité financière (HCSF) made a decision to reciprocate an institution-specific 35% average risk weight floor for corporate exposures collateralised by immovable property in Norway, applied in accordance with Article 458(2)(d)(vi) of Regulation (EU) No 575/2013.</t>
  </si>
  <si>
    <t>EUR 750 million</t>
  </si>
  <si>
    <t>FR.RECI.1236</t>
  </si>
  <si>
    <t>Haut Conseil de stabilité financière (HCSF) decided to reciprocate the Lithuanian measure of a Systemic Risk Buffer of 2% regarding retail exposures to natural persons secured by residential immovable property either as direct exposures in Lithuania of French banking groups of branches of French banking groups located in Lithuania.</t>
  </si>
  <si>
    <t>EUR 50 million on an individual basis</t>
  </si>
  <si>
    <t>https://www.economie.gouv.fr/files/files/directions_services/hcsf/Decision_HCSF_2022_09_Lituanie.pdf?v=1690290177</t>
  </si>
  <si>
    <t>FR.RECI.611</t>
  </si>
  <si>
    <t>FR.RECI.1479</t>
  </si>
  <si>
    <t>Haut Conseil de Stabilité Financière decided to reciprocate the Swedish measure regarding risk weight floors for corporate exposures of IRB banks, secured by commercial and residential properties</t>
  </si>
  <si>
    <t>https://www.economie.gouv.fr/files/files/directions_services/hcsf/D-HCSF-2023-4_reciprocite_Suede.pdf?v=1703150112</t>
  </si>
  <si>
    <t>FR.RECI.965</t>
  </si>
  <si>
    <t>Haut Conseil de stabilité financière (HCSF) made a decision of reciprocating a 4.5% SyRB from Norway. The new decision adopted by the HCSF relies on a 3.16 billion euros (corresponding to 32 billion Norwegian kroner based on the EUR/NOK foreign exchange rate observed on June 1st 2021) materiality threshold.</t>
  </si>
  <si>
    <t>FR.RECI.711</t>
  </si>
  <si>
    <t>Reciprocation of the Estonian SRB.</t>
  </si>
  <si>
    <t>250 million</t>
  </si>
  <si>
    <t>Art. 133 CRD IV</t>
  </si>
  <si>
    <t>https://www.economie.gouv.fr/files/files/directions_services/hcsf/Decision_D-HCSF-2019-4.pdf?v=1641491856</t>
  </si>
  <si>
    <t>FR.RECI.1646</t>
  </si>
  <si>
    <t>Reciprocation of an Italian SyRB. The measure consists of a 0,5 % systemic risk buffer rate on all credit risk exposures and counterparty credit risk exposures located in Italy</t>
  </si>
  <si>
    <t>institutions are exempted when their relevant exposures do not exceed a materiality threshold of EUR 25 billion</t>
  </si>
  <si>
    <t>Article 133 &amp; 134 CRD</t>
  </si>
  <si>
    <t>https://www.economie.gouv.fr/files/files/directions_services/hcsf/Décision%20N°HCSF-2024-1%20signée%20par%20M.%20ARMAND.pdf?v=1729759265</t>
  </si>
  <si>
    <t>FR.RECI.1235</t>
  </si>
  <si>
    <t>Haut Conseil de stabilité financière (HCSF) decided to reciprocate the German measure of a Systemic Risk Buffer of 2% regarding exposures secured by residential immovable property located in Germany either as direct exposures in Germany of French banking groups of branches of French banking groups located in Germany.</t>
  </si>
  <si>
    <t>EUR 10 billion</t>
  </si>
  <si>
    <t>https://www.economie.gouv.fr/files/files/directions_services/hcsf/Decision_HCSF_2022_09_BaFin_Allemagne.pdf?v=1690290177</t>
  </si>
  <si>
    <t>FR.RECI.1330</t>
  </si>
  <si>
    <t>The Haut Conseil de Stabilité Financière has decided to reciprocate the he Norwegian measure of systemic risk buffer at a 4.5% rate for calculating regulatory capital regarding direct exposures in Norway of French banking groups and exposures of branches of French banking groups located in Norway.</t>
  </si>
  <si>
    <t>institutions whose materiality threshold in terms of risk-weighted exposures does not exceed NOK 5 billion are exempted from applying the reciprocated measure.</t>
  </si>
  <si>
    <t>https://www.economie.gouv.fr/files/files/directions_services/hcsf/Decision_reciprocite_2023-1.pdf?v=1688137258</t>
  </si>
  <si>
    <t>FR.RECI.1499</t>
  </si>
  <si>
    <t>France decided to reciprocate the Belgium sectoral SyRB.</t>
  </si>
  <si>
    <t>https://www.economie.gouv.fr/files/files/directions_services/hcsf/Decision_D-HCSF-2023-5%20-%20ECOT2333555S_2023-12-18.pdf?v=1703150112</t>
  </si>
  <si>
    <t>FR.RECI.962</t>
  </si>
  <si>
    <t>Haut Conseil de stabilité financière (HCSF) made a decision of reciprocation Luxembourg LTV. The HCSF can only activate legally binding borrower-based measures for new housing loans on residential real estate located in France or for new housing loans to borrowers located in France. Hence, the measure would not apply to borrowers located in Luxembourg applying for a housing loan in France to purchase Luxembourg residential real estate. Consequently, the HCSF decided to issue a non-legally binding recommendation asking French credit institutions to apply the LTV limits specified in 1.2 of this notification for loans granted on residential real estate located in Luxembourg (recommendation R-HCSF-2021-2).</t>
  </si>
  <si>
    <t>EUR 35 million</t>
  </si>
  <si>
    <t>https://www.economie.gouv.fr/files/2021-07/HCSF%2020210615%20Recommandation%20Luxembourg_0.pdf?v=1677665164</t>
  </si>
  <si>
    <t>DE.NECI.1008</t>
  </si>
  <si>
    <t>BaFin made a decision of non-reciprocate Norway Article 458 for CRE exposure. BaFin decided to non-reciprocate since there are no credit institutions authorised in Germany that have material exposures concerning the threshold for CRE floor.</t>
  </si>
  <si>
    <t>DE.NECI.1006</t>
  </si>
  <si>
    <t>BaFin made a decision of non-reciprocate Norway 4.5% SyRB. BaFin decided to non-reciprocate since there are no credit institutions authorised in Germany that have material exposures with regard to the threshold for SyRB.</t>
  </si>
  <si>
    <t>DE.RECI.1485</t>
  </si>
  <si>
    <t>BaFin decided to reciprocate the Norwegian systemic risk buffer of 4.5%.</t>
  </si>
  <si>
    <t>https://www.bafin.de/SharedDocs/Veroeffentlichungen/DE/Aufsichtsrecht/Verfuegung/vf_231127_allgvfg_SYRB_Norwegen.html;jsessionid=502391F687E97C23A72C334D0BBF9626.internet952</t>
  </si>
  <si>
    <t>DE.NECI.1007</t>
  </si>
  <si>
    <t>BaFin made a decision of non-reciprocate Norway Article 458 for RRE exposures. BaFin decided to non-reciprocate since there are no credit institutions in Germany that have material exposures for RRE floor.</t>
  </si>
  <si>
    <t>DE.NECI.687</t>
  </si>
  <si>
    <t>DE.NECI.274</t>
  </si>
  <si>
    <t>DE.RECI.1222</t>
  </si>
  <si>
    <t>The german Bundesanstalt für Finanzdienstleistungsaufsicht decided to reciprocate the Dutch measure, which is a minimum average risk weight for IRB credit institutions’ 
portfolios of exposures to natural persons secured by residential property located in the Netherlands.</t>
  </si>
  <si>
    <t>https://www.bafin.de/dok/18707600</t>
  </si>
  <si>
    <t>DE.NECI.292</t>
  </si>
  <si>
    <t>Non-reciprocation of 1-percent SRB rate applied to the domestic exposures of all credit institutions authorised in Estonia.</t>
  </si>
  <si>
    <t>DE.NECI.703</t>
  </si>
  <si>
    <t>DE.NECI.1176</t>
  </si>
  <si>
    <t>Bundesanstalt für Finanzdienstleistungsaufsicht (BaFin) decided to not reciprocate the measure of Lithuania: A 2 % systemic risk buffer rate for all retail exposures to natural persons resident in the Republic of Lithuania that are secured by residential property, because of immateriality of exposures of German credit institutions.</t>
  </si>
  <si>
    <t>DE.NECI.1175</t>
  </si>
  <si>
    <t>Bundesanstalt für Finanzdienstleistungsaufsicht (BaFin) decided to not reciprocate the measure introduced by Belgium of 9 % systemic risk buffer rate on all IRB retail exposures secured by residential immovable property for which the collateral is located in Belgium, because of limited exposure of all German credit institutions.</t>
  </si>
  <si>
    <t>DE.NECI.569</t>
  </si>
  <si>
    <t>DE.NECI.484</t>
  </si>
  <si>
    <t>DE.RECI.1027</t>
  </si>
  <si>
    <t>BaFin has decided to reciprocate the measure of Luxembourg on legally binding requirements for new mortgage loans on residential immovable property located in Luxembourg.</t>
  </si>
  <si>
    <t>GR.NECI.630</t>
  </si>
  <si>
    <t>Non-reciprocation of the Swedish measure (a credit insitution-specific floor of 25 per cent for the exposure-weighted average of the risk weights applied to the portfolio of retail exposures to obligors residing in Sweden secured by immovable property, to credit institutions authorised in Sweden and using the IRB Approach for calculating regulatory capital requirements.)</t>
  </si>
  <si>
    <t>GR.NECI.1180</t>
  </si>
  <si>
    <t>Bank of Greece decided to not reciprocate the measures of the Netherlands to have a minimum average risk weight for credit institutions authorised in the Netherlands, using the IRB approach for calculating regulatory capital requirements in relation to their portfolios of exposures to natural persons secured by residential property located in the Netherlands, because Greek banks' aggregate exposure to natural persons secured by residential propoerty located in the Netherlands is negligible, and clearly below the respective institution-specific materiality thresholds.</t>
  </si>
  <si>
    <t>GR.NECI.1216</t>
  </si>
  <si>
    <t>Bank of Greece made the decision of non-reciprocation of a  4.5% systemic risk buffer rate for exposures in Norway, applied in accordance with Article 133 of Directive 2013/36/EU.	The Bank of Greece does not intend to reciprocate the measures since the risk-weighted exposures of Greek credit institutions in Norway are zero (data reference date: 31 December 2020, including gross lending collateralised by residential and commercial real estate to Norwegian customers).</t>
  </si>
  <si>
    <t>GR.NECI.1188</t>
  </si>
  <si>
    <t>The Bank of Greece decided not to reciprocate a 2% systemic risk buffer on all retail exposures to natural persons resident in the Republic of Lithuania that are secured by residential property. The reason for non reciprocation is because the Greek banks'aggregate exposure to natural persons secured by residential property in Lithuania is negligible.</t>
  </si>
  <si>
    <t>GR.NECI.1020</t>
  </si>
  <si>
    <t>The Bank of Greece has decided to non-reciprocate the measure by France entailing a tightening of the large exposure limit.</t>
  </si>
  <si>
    <t>GR.NECI.1195</t>
  </si>
  <si>
    <t>The Bank of Greece did not reciprocate the Belgian Systemic Risk Buffer since the greek banks' aggregate exposure to natural persons secured by residential property located in Belgium is negligible and below the institution-level maximum materiality threshold of €2 billion.</t>
  </si>
  <si>
    <t>GR.NECI.1662</t>
  </si>
  <si>
    <t>Bank of Greece decided to not reciprocate the danish sectoral SyRB of 7% because Greek banks don't have significant exposures to Danish non financial corporations (€48 million which is below the institution-specific materiality threshold of €200 million).</t>
  </si>
  <si>
    <t>GR.NECI.949</t>
  </si>
  <si>
    <t>Bank of Greece made a decision of non-reciprocation of a  35 % average risk weight floor for commercial real estate  exposures in Norway,  applied in accordance with Article 458(2)(d)(vi) of the CRR. (a)	The Bank of Greece does not intend to reciprocate the measures since the risk-weighted exposures of Greek credit institutions in Norway are zero (data reference date: 31 December 2020, including gross lending collateralised by residential and commercial real estate to Norwegian customers).</t>
  </si>
  <si>
    <t>Article 458</t>
  </si>
  <si>
    <t>GR.NECI.948</t>
  </si>
  <si>
    <t>Bank of Greece made the decision of non-reciprocation of a  20 % average risk weight floor for residential real estate  exposures in Norway,  applied in accordance with Article 458(2)(d)(vi) of Regulation (EU) No 575/2013. 	The Bank of Greece does not intend to reciprocate the measures since the risk-weighted exposures of Greek credit institutions in Norway are zero (data reference date: 31 December 2020, including gross lending collateralised by residential and commercial real estate to Norwegian customers).</t>
  </si>
  <si>
    <t>GR.NECI.451</t>
  </si>
  <si>
    <t>Non-reciprocation of the Finnish minimum risk weight floor on housing loans provided by IRB credit institutions</t>
  </si>
  <si>
    <t>GR.NECI.1182</t>
  </si>
  <si>
    <t>The Bank of Greece decided to not reciprocate the measure of Belgium, which is a systemic risk buffer, because of limited exposure of Greek banks.</t>
  </si>
  <si>
    <t>GR.NECI.573</t>
  </si>
  <si>
    <t>GR.NECI.1478</t>
  </si>
  <si>
    <t>Bank of Greece decided not to reciprocate the Swedish measure regarding risk weight floors for commercial exposures of IRB banks secured by commercial and residential properties.</t>
  </si>
  <si>
    <t>GR.NECI.632</t>
  </si>
  <si>
    <t>GR.NECI.1181</t>
  </si>
  <si>
    <t>Bank of Greece decided to not reciprocate the measure of Lithuana, to implement a 2% systemic risk buffer rate on all retail nexposures to natural persons resident in the Republic of Lithuania that are secured by residential property, because there is no exposure of Greek banks.</t>
  </si>
  <si>
    <t>GR.NECI.1287</t>
  </si>
  <si>
    <t>The Bank of Greece did not reciprocate the German Systemic Risk Buffer since Greek banks’ aggregate exposure to loans to natural and legal persons secured by residential property located in Germany is negligible and, hence, clearly below the institution-level maximum materiality threshold of €1.1 billion.</t>
  </si>
  <si>
    <t>GR.NECI.1524</t>
  </si>
  <si>
    <t>Bank of Greece decided not to reciprocate the Belgian sectoral SyRB.</t>
  </si>
  <si>
    <t>GR.NECI.1477</t>
  </si>
  <si>
    <t>Bank of Greece decided not to reciprocate the Swedish measure regarding a 25%  risk weight 	floor for retail exposures of IRB banks secured by immovable property in Sweden.</t>
  </si>
  <si>
    <t>GR.NECI.655</t>
  </si>
  <si>
    <t>GR.NECI.1632</t>
  </si>
  <si>
    <t>Non-reciprocation of the Italian sectoral SyRB because Greek banks do not breach the EUR 25 billion threshold.</t>
  </si>
  <si>
    <t>GR.NECI.947</t>
  </si>
  <si>
    <t>Bank of Greece made a decision of non-reciprocation of the Luxembourg LTV. The Bank of Greece does not intend to reciprocate the measure since the aggregate exposure of Greek banks on residential real estate in Luxembourg stood at EUR 0.2 million (data reference date: 31 March 2021), well below of EUR 350 million and EUR 35 million for country-specific and institution-specific materiality thresholds, respectively.</t>
  </si>
  <si>
    <t>HU.NECI.351</t>
  </si>
  <si>
    <t>HU.NECI.1562</t>
  </si>
  <si>
    <t>Magyar Nemzeti Bank decided not to reciprocate the Swedish risk weight floor  of 25% for credit institutions using the internal ratings based (IRB) approach for calculating regulatory capital requirements applicable to retail exposures in Sweden secured by immovable property.</t>
  </si>
  <si>
    <t>HU.NECI.1576</t>
  </si>
  <si>
    <t>Magyar Nemzeti Bank decided not to reciprocate the Danish sSyRB of 9% applicable until 31 March 2024 and then of 6% on all IRB retail exposures to natural persons secured by residential immovable property for which the collateral is located in Belgium.</t>
  </si>
  <si>
    <t>HU.NECI.615</t>
  </si>
  <si>
    <t>HU.NECI.1625</t>
  </si>
  <si>
    <t>non-reciprotation of the 7% sectoral systemic risk buffer rate on all types of exposures located in Denmark to non-financial corporations operating in real estate activities and in the development of building projects</t>
  </si>
  <si>
    <t>HU.NECI.1575</t>
  </si>
  <si>
    <t>Magyar Nemzeti Bank decided not to reciprocate the Swedish risk weight floor measure of 25 % for the 
exposure-weighted average of the risk weights applied to the portfolio of retail exposures to obligors residing in 
Sweden secured by immovable property applied in accordance with Article 458(2)(d)(iv) of Regulation (EU) No 575/2013 to credit institutions authorised in Sweden using the IRB approach for calculating regulatory capital 
requirements.</t>
  </si>
  <si>
    <t>HU.NECI.460</t>
  </si>
  <si>
    <t>HU.NECI.657</t>
  </si>
  <si>
    <t>HU.NECI.1309</t>
  </si>
  <si>
    <t>Magyar Nemzeti Bank decided to not reciprocate the German systemic risk buffer because there are no exposures above the materiality threshold.</t>
  </si>
  <si>
    <t>HU.NECI.1578</t>
  </si>
  <si>
    <t>Magyar Nemzeti decided not to reciprocate the Norwegian measure of 20 % floor for (exposure-weighted) average risk weights for exposures to residential real estate located in Norway, under Article 458(2)(d)(iv) of Regulation (EU) No 575/2013, as applicable to and in Norway as of 31 December 2022 pursuant to the terms of the EEA Agreement (hereinafter the ‘CRR as applicable to and in Norway on 31 December 2022), to credit institutions authorised in Norway using the internal ratings-based (IRB) approach for calculating regulatory capital requirements.</t>
  </si>
  <si>
    <t>HU.NECI.1577</t>
  </si>
  <si>
    <t>Magyar Nemzeti Bank decided not to reciprocate the Norwegian measure of 35 % floor for (exposure-weighted) risk weights for exposures to commercial real estate located in Norway, pursuant to Article 458(2)(d)(iv) of the CRR as applicable to and in Norway as of 31 December 2022, to credit institutions authorised in Norway using the IRB approach for calculating regulatory capital requirements.</t>
  </si>
  <si>
    <t>HU.NECI.1107</t>
  </si>
  <si>
    <t>Magyar Nemzeti Bank decided not to reciprocate the 4.5 % systemic risk buffer rate for exposures in Norway.</t>
  </si>
  <si>
    <t>HU.NECI.658</t>
  </si>
  <si>
    <t>HU.NECI.350</t>
  </si>
  <si>
    <t>HU.NECI.1561</t>
  </si>
  <si>
    <t>Magyar Nemzeti Bank decided not to reciprocate the Norwegian systemic risk buffer rate of 4.5% for exposures located in Norway.</t>
  </si>
  <si>
    <t>HU.NECI.1627</t>
  </si>
  <si>
    <t>non-reciprocation of: 
A 0.5 % systemic risk buffer rate on all credit risk exposures and counterparty credit risk exposures located
in Italy, applicable from 31 December 2024 until 29 June 2025; increasing to a 1 % systemic risk buffer rate on all credit risk exposures and counterparty credit risk exposures located in Italy, applicable from 30 June 2025.</t>
  </si>
  <si>
    <t>HU.NECI.1308</t>
  </si>
  <si>
    <t>Magyar Nemzeti bank decided to not reciprocate the Lithuanian sectoral systemic risk buffer because there are no exposures above the materiality threshold.</t>
  </si>
  <si>
    <t>HU.NECI.1307</t>
  </si>
  <si>
    <t>Magyar Nemzeti Bank decided to not reciprocate the Dutch measure regarding the risk weights because of no material exposures.</t>
  </si>
  <si>
    <t>HU.NECI.1098</t>
  </si>
  <si>
    <t>Magyar Nemzeti Bank (MNB) decided not to reciprocate the legally binding loan-to-value (LTV) limits for new mortgage loans on residential real estate located in Luxembourg</t>
  </si>
  <si>
    <t>HU.NECI.1106</t>
  </si>
  <si>
    <t>Magyar Nemzeti Bank decided not to reciprocate the 20 % average risk weight floor for residential real estate exposures in Norway.</t>
  </si>
  <si>
    <t>HU.NECI.1310</t>
  </si>
  <si>
    <t>Magyar nemzeti bank decided to not reciprocate the Belgium systemic risk buffer because of no exposures above the materiality threshold.</t>
  </si>
  <si>
    <t>HU.NECI.1626</t>
  </si>
  <si>
    <t>non-reciprocation of a 2 % systemic risk buffer rate on (i) all IRB exposures secured by residential immovable property located in Germany, and (ii) all SA-based exposures fully and completely secured by residential immovable property.</t>
  </si>
  <si>
    <t>HU.NECI.1628</t>
  </si>
  <si>
    <t>non-reciprocation of:
A 4 % sectoral systemic risk buffer rate on all IRB retail exposures to natural persons secured by residential
immovable property for which the collateral is located in Portugal applicable from 1 October 2024.</t>
  </si>
  <si>
    <t>HU.NECI.1105</t>
  </si>
  <si>
    <t>Magyar Nemzeti Bank decided not to reciprocate the 35 % average risk weight floor for commercial real estate exposures in Norway.</t>
  </si>
  <si>
    <t>IS.NECI.1302</t>
  </si>
  <si>
    <t>the Central Bank of Iceland decided to not reciprocate the Belgium measure which is a 9% SyRB on all IRB retail exposures to natural persons secured by residential immovable property for which the collateral is located in Belgium. The main reason is immaterial exposures far below the materiality threshold.</t>
  </si>
  <si>
    <t>IS.NECI.835</t>
  </si>
  <si>
    <t>Non-reciprocation of the Swedish article 458  measure (a credit insitution-specific floor of 25 per cent for the exposure-weighted average of the risk weights applied to the portfolio of retail exposures to obligors residing in Sweden secured by immovable property, to credit institutions authorised in Sweden and using the IRB Approach for calculating regulatory capital requirements.)
Main reason for not reciprocating the measure is that Icelandic institution’s exposures in Sweden are immaterial and none of the institutions in Iceland uses the Internal Ratings Based (IRB) Approach.</t>
  </si>
  <si>
    <t>IS.NECI.1630</t>
  </si>
  <si>
    <t>non-reciprocation of a 0,5 % systemic risk buffer rate on all credit risk exposures and counterparty credit risk exposures located in Italy, applicable from 31 December 2024 until 29 June 2025; increasing to a 1 % systemic risk buffer rate on all credit risk exposures and counterparty credit risk exposures located in Italy, applicable from 30 June 2025 (ESRB/2024/2).</t>
  </si>
  <si>
    <t>IS.NECI.1103</t>
  </si>
  <si>
    <t>Central bank of Iceland decided not to reciprocate the minimum average risk weight applied by credit institutions using the IRB approach in relation to their portfolios of exposures to natural persons secured by residential property located in the Netherlands.</t>
  </si>
  <si>
    <t>IS.NECI.834</t>
  </si>
  <si>
    <t>Non-reciprocation of the French measure consisting of a tightening of large exposure limits applicable to highly indebted large non-financial corporations that are resident in France taken under Article 458 CRR.
Main reason for not reciprocating the measure is that Icelandic institution’s exposures in France are immaterial</t>
  </si>
  <si>
    <t>IS.NECI.1459</t>
  </si>
  <si>
    <t>The Central Bank of Iceland decided not to reciprocate the Swedish measure regarding risk weight floors for commercial exposures of IRB banks secured by commercial (35%) and residential (25%) properties.</t>
  </si>
  <si>
    <t>IS.NECI.1303</t>
  </si>
  <si>
    <t>The Central Bank of Iceland decided to not reciprocate the German SyRB measure. The main reason for not reciprocating is immaterial exposures, far below the materiality threshold.</t>
  </si>
  <si>
    <t>IS.NECI.1582</t>
  </si>
  <si>
    <t>The Central Bank of Iceland decided not to reciprocate the Danish sSyRB of 7% on all types of exposures located in Denmark to non-financial corporations operating in real estate activities and in the development of building projects identified in accordance with the statistical classification of economic activities in the Union, set out in Regulation (EC) No 1893/2006 (ESRB/2023/13).</t>
  </si>
  <si>
    <t>IS.NECI.1102</t>
  </si>
  <si>
    <t>Central bank of Iceland decided not to reciprocate the 2 % systemic risk buffer rate for all retail exposures to natural persons resident in the Republic of Lithuania that are secured by residential property.</t>
  </si>
  <si>
    <t>IS.NECI.1492</t>
  </si>
  <si>
    <t>Iceland decided not to reciprocate the Belgian SyRB.</t>
  </si>
  <si>
    <t>IS.NECI.1583</t>
  </si>
  <si>
    <t>The Central Bank of Iceland decided not to reciprocate the Portugese sSyRB of 4% on all IRB retail exposures to natural persons secured by residential immovable property for which the collateral is located in Portugal (ESRB/2023/13).</t>
  </si>
  <si>
    <t>IS.NECI.831</t>
  </si>
  <si>
    <t>Non-reciprocation of the Belgian measure of 5 percentage point add-on to the risk weights of IRB credit institutions, and a proportionate risk-weight add-on consisting of 33 per cent of the exposure-weighted average of the risk-weights applied to the portfolio of retail exposures secured by residential immovable property located in Belgium.
Main reason for not reciprocating the measure is that Icelandic institution’s exposures in Belgium are immaterial and none of the institutions in Iceland uses the Internal Ratings Based (IRB) Approach.</t>
  </si>
  <si>
    <t>IS.NECI.990</t>
  </si>
  <si>
    <t>The Central Bank of Iceland made a decision of non-reciprocate Norway Article 458 for CRE exposure. The Central Bank of Iceland decided to non-reciprocate since Icelandic institutions’ exposures in Norway are immaterial and far below the materiality thresholds and none of the institutions in Iceland uses the Internal Ratings Based (IRB) Approach.</t>
  </si>
  <si>
    <t>IS.NECI.1629</t>
  </si>
  <si>
    <t>non-reciprocation of a 7 % sectoral systemic risk buffer rate on all types of exposures located in Denmark to non-financial corporations operating in real estate activities and in the development of building projects</t>
  </si>
  <si>
    <t>IS.NECI.987</t>
  </si>
  <si>
    <t>The Central Bank of Iceland made a decision of non-reciprocate Luxembourg LTV measure. The Central Bank of Iceland decided to non-reciprocate since Icelandic institutions’ exposures in Luxembourg are immaterial and far below the materiality thresholds.</t>
  </si>
  <si>
    <t>IS.NECI.832</t>
  </si>
  <si>
    <t>Non-reciprocation of the Estonian measure which consists of a 1-percent systemic risk bufer applied to all banks.
Main reason for it is that Icelandic institution’s exposures in Estonia are immaterial. Also, the buffer rate is currently 0% after it was reduced by the Eesti Pank from 1 May 2020.</t>
  </si>
  <si>
    <t>IS.NECI.989</t>
  </si>
  <si>
    <t>The Central Bank of Iceland made a decision of non-reciprocate the Norway Article 458 for RRE exposure. The Central Bank of Iceland decided to non reciprocate since Icelandic institutions’ exposures in Norway are immaterial and far below the materiality thresholds and none of the institutions in Iceland uses the Internal Ratings Based (IRB) Approach.</t>
  </si>
  <si>
    <t>IS.NECI.833</t>
  </si>
  <si>
    <t>Non-reciprocation of the Finnish measure consists of a credit institution-specific minimum level of 15% for the average risk-weight on loans secured by a mortgage on housing units in Finland applicable to credit institutions using the internal ratings based (IRB) approach, under Article 458.
Main reason for not reciprocating the measure is that Icelandic institution’s exposures in Finland are immaterial and none of the institutions in Iceland uses the Internal Ratings Based (IRB) Approach</t>
  </si>
  <si>
    <t>IS.NECI.988</t>
  </si>
  <si>
    <t>The Central Bank of Iceland made a decision of non-reciprocate Norway SyRB 4.5%. The Central Bank of Iceland decided to non-reciprocate since Icelandic institutions’ exposures in Norway are immaterial and far below the materiality thresholds and none of the institutions in Iceland uses the Internal Ratings Based (IRB) Approach.</t>
  </si>
  <si>
    <t>IE.NECI.1314</t>
  </si>
  <si>
    <t>The Central Bank of Ireland has decided not to reciprocate a sectoral systemic risk buffer requirement for residential real estate exposures in Lithuania.</t>
  </si>
  <si>
    <t>IE.NECI.1285</t>
  </si>
  <si>
    <t>The Central Bank of Ireland has decided not to reciprocate a systemic risk buffer requirement for residential real estate exposures in Germany.</t>
  </si>
  <si>
    <t>IE.NECI.1003</t>
  </si>
  <si>
    <t>The Central Bank of Ireland made a decision of non-reciprocate Norway Article 458 for CRE exposure. The Central Bank of Ireland decided to non-reciprocate since 	no Irish authorised IRB credit institution has exposures above or close to the institution-specific materiality threshold relating to both the commercial average risk weigh floors.</t>
  </si>
  <si>
    <t>IE.NECI.1000</t>
  </si>
  <si>
    <t>The Central Bank of Ireland made a decision of non-reciprocate the Norway SyRB 4.5%. The Central Bank of Ireland decided to non-reciprocate since 	no Irish authorised credit institution has exposures above or close to the institution-specific materiality threshold relating to the systemic risk buffer rate.</t>
  </si>
  <si>
    <t>IE.NECI.1113</t>
  </si>
  <si>
    <t>Central Bank of Ireland decided not to reciprocate The Netherlands' measure on a minimum average risk weight measure applied in accordance with Article 458(2)(d)(vi) of Regulation (EU) No 575/2013.</t>
  </si>
  <si>
    <t>IE.NECI.1002</t>
  </si>
  <si>
    <t>The Central Bank of Ireland made a decision of non-reciprocate Norway Article 458 for RRE exposure. The Central Bank of Ireland decided to non-reciprocate since 	no Irish authorised IRB credit institution has exposures above or close to the institution-specific materiality threshold relating to both the residential average risk weigh floors.</t>
  </si>
  <si>
    <t>IE.NECI.458</t>
  </si>
  <si>
    <t>IE.RECI.1385</t>
  </si>
  <si>
    <t>The Central Bank of Ireland has decided to reciprocate a systemic risk buffer requirement for all exposures located in Norway, applied in accordance with Article 133 CRD to all credit institutions authorised in Norway. The measure will be reciprocated with the de minimis threshold applying as provided by Section 2.2.1 of Recommendation ESRB/2015/2.</t>
  </si>
  <si>
    <t>NOK 5 billion (as per ESRB Recommendation)</t>
  </si>
  <si>
    <t>https://www.centralbank.ie/docs/default-source/financial-system/financial-stability/macroprudential-policy/reciprocity/decision-by-central-bank-of-ireland-reciprocate-a-norwegian-systemic-risk-buffer-syrb-rate.pdf?sfvrsn=4bed9f1d_6</t>
  </si>
  <si>
    <t>IE.NECI.999</t>
  </si>
  <si>
    <t>The Central Bank of Ireland made a decision of non-reciprocate Luxembourg LTV. The Central Bank of Ireland decided to non-reciprocate since total cross-border lending to Luxembourg is not above or close to the country-specific materiality threshold and no Irish authorised credit institution, insurance corporation or retail credit firm has exposures above or close to the institution-specific materiality threshold.</t>
  </si>
  <si>
    <t>IE.NECI.1471</t>
  </si>
  <si>
    <t>The Central Bank of Ireland has decided not to reciprocate the Belgian sectoral systemic risk buffer on IRB retail exposures to natural persons secured by residential immovable property, for which the collateral is located in Belgium.</t>
  </si>
  <si>
    <t>IE.RECI.1077</t>
  </si>
  <si>
    <t>The Central Bank of Ireland has decided to reciprocate the French Article 458 measure as recommended in ESRB/2021/6. A tightening of the large exposure limit to exposures to highly-indebted large non-financial corporations having their registered office in France to 5 per cent of Tier 1 capital, applied to global systemically important institutions (G-SIIs) and other systemically important institutions (O-SIIs).</t>
  </si>
  <si>
    <t>IE.NECI.1474</t>
  </si>
  <si>
    <t>The Central Bank of Ireland decided not to reciprocate the Swedish measure regarding  risk weight floors for commercial exposures of IRB banks secured by commercial and residential properties.</t>
  </si>
  <si>
    <t>IE.NECI.1127</t>
  </si>
  <si>
    <t>The Central Bank of Ireland has decided to not reciprocate the Dutch minimum average risk weight measure because of immateriality of exposures secured by residential property in the Netherlands.</t>
  </si>
  <si>
    <t>IE.RECI.699</t>
  </si>
  <si>
    <t>as in ESRB Recommendation 2018/8</t>
  </si>
  <si>
    <t>https://www.centralbank.ie/docs/default-source/financial-system/financial-stability/macroprudential-policy/reciprocity/announcement-of-the-decision-to-reciprocate-a-french-macroprudential-measure.pdf</t>
  </si>
  <si>
    <t>IE.NECI.291</t>
  </si>
  <si>
    <t>IE.NECI.1598</t>
  </si>
  <si>
    <t>The Central Bank of Ireland has decided not to reciprocate the Italian measure because the criteria under which non-reciprocation is ‘sufficiently explained’ are met. Relevant exposures are well below the materiality threshold of €25 billion. As of 31 March 2024, 14 credit institutions had relevant exposures to Italy and in the majority of cases this exposure was insignificant. Only four institutions had an exposure greater than €1 billion with largest being circa €9 billion.</t>
  </si>
  <si>
    <t>IE.NECI.1564</t>
  </si>
  <si>
    <t>The Central Bank of Ireland has decided not to reciprocate the 4% sectoral systemic risk buffer rate, on retail exposures secured by residential immovable property for which the collateral is located in Portugal. Relevant exposures are well below the materiality threshold of €1 billion. As of 31 March 2024, there was the only one credit institution with IRB exposures to Portuguese residential real estate with a value of less than €1 million</t>
  </si>
  <si>
    <t>Art 133 CRD</t>
  </si>
  <si>
    <t>IE.NECI.275</t>
  </si>
  <si>
    <t>IE.NECI.649</t>
  </si>
  <si>
    <t>IE.NECI.571</t>
  </si>
  <si>
    <t>IE.NECI.650</t>
  </si>
  <si>
    <t>IE.NECI.1585</t>
  </si>
  <si>
    <t>The Central Bank of Ireland decided not to reciprocate the Danish systemic risk buffer (SyRB) applicable to a subset of sectoral exposures (henceforth, ‘sectoral systemic risk buffer’ or ‘sSyRB') of 7%, for all institutions authorised in Denmark applied in accordance with Article 133 of Directive 2013/36/EU and as adopted in ESRB Recommendation ESRB/2024/3.</t>
  </si>
  <si>
    <t>IT.NECI.1206</t>
  </si>
  <si>
    <t>Banca d'Italia decided to not recipcrocate the minimum average risk weight for credit institutions authorised in the Netherlands and using the internal ratings-based (IRB) approach in relation to their portfolios of exposures to natural persons secured by residential property located in the Netherlands. The reason to not reciprocate is that no Italian bank has material expsosure.</t>
  </si>
  <si>
    <t>IT.NECI.277</t>
  </si>
  <si>
    <t>http://www.bancaditalia.it/compiti/stabilita-finanziaria/politica-macroprudenziale/reciprocation-belgium/index.html?com.dotmarketing.htmlpage.language=1%20.</t>
  </si>
  <si>
    <t>IT.NECI.1159</t>
  </si>
  <si>
    <t>Banca d'Italia decided to not reciprocate the Lithuanian SyRB for all retail exposures to natural persons in Lithuania that are secured by residential property. The SyRB is applicable to banks authorised in Lithuania at the highest level of consolidation in the country.</t>
  </si>
  <si>
    <t>https://www.bancaditalia.it/compiti/stabilitafinanziaria/politica-macroprudenziale/tremisure/index.html?com.dotmarketing.htmlpage.language=1</t>
  </si>
  <si>
    <t>IT.NECI.1652</t>
  </si>
  <si>
    <t>Banca d'Italia decided to not reciprocate the Danish sectoral SyRB, because  Italian banks have immaterial exposures towards NFCs engaged in real estate activities located in Denmark.</t>
  </si>
  <si>
    <t>https://www.bancaditalia.it/compiti/stabilita-finanziaria/politica-macroprudenziale/dan-2024.11.08/index.html?com.dotmarketing.htmlpage.language=1&amp;dotcache=refresh</t>
  </si>
  <si>
    <t>IT.NECI.286</t>
  </si>
  <si>
    <t>https://www.bancaditalia.it/compiti/stabilita-finanziaria/politica-macroprudenziale/reciprocation-estonia/index.html?com.dotmarketing.htmlpage.language=1</t>
  </si>
  <si>
    <t>IT.NECI.648</t>
  </si>
  <si>
    <t>https://www.bancaditalia.it/compiti/stabilita-finanziaria/politica-macroprudenziale/francia-svezia/index.html</t>
  </si>
  <si>
    <t>IT.NECI.1162</t>
  </si>
  <si>
    <t>Banca d'Italia decided to not reciprocate the Norwegian SyRB because of no material exposure of Italian banks.</t>
  </si>
  <si>
    <t>IT.NECI.1082</t>
  </si>
  <si>
    <t>Bank of Italy has decided not to reciprocate the French measure on a tightening of the large exposure limit.</t>
  </si>
  <si>
    <t>IT.NECI.1160</t>
  </si>
  <si>
    <t>Banca d'Italia decided to not reciprocate the Belgian SyRB to prevent and mitigate macroprudential or systemic risks stemming from internal ratings-based (IRB) exposures secured by residential immovable property for which the collateral is located in Belgium, since no Italian bank has material exposure.</t>
  </si>
  <si>
    <t>IT.NECI.1453</t>
  </si>
  <si>
    <t>Banca d'Italia decided not to reciprocate the Swedish measure regarding  risk weight floors for commercial exposures of IRB banks secured by commercial and residential properties.</t>
  </si>
  <si>
    <t>https://www.bancaditalia.it/compiti/stabilita-finanziaria/politica-macroprudenziale/decisione-svezia-29092023/index.html?com.dotmarketing.htmlpage.language=1</t>
  </si>
  <si>
    <t>IT.NECI.647</t>
  </si>
  <si>
    <t>IT.NECI.1514</t>
  </si>
  <si>
    <t>Banca d'Italia decided not to reciprocate the 6% Belgian sectoral SyRB.</t>
  </si>
  <si>
    <t>https://www.bancaditalia.it/compiti/stabilita-finanziaria/politica-macroprudenziale/belgio-2024.03.22/index.html?com.dotmarketing.htmlpage.language=1</t>
  </si>
  <si>
    <t>IT.NECI.588</t>
  </si>
  <si>
    <t>http://www.bancaditalia.it/compiti/stabilita-finanziaria/politica-macroprudenziale/index.html?com.dotmarketing.htmlpage.language=1</t>
  </si>
  <si>
    <t>IT.NECI.976</t>
  </si>
  <si>
    <t>Banca di Italia made a decision of non-reciprocation of Luxembourg LTV. As of December 2020, loans to households guaranteed by residential properties located in Luxembourg amounted to approximately € 18 million for the whole Italian banking system, a value significantly lower than both the country-specific and the institutionspecific materiality thresholds. The Bank of Italy will periodically monitor Italian banks’ exposure to the Luxembourg property market and it may review its decision according to any newly available data.</t>
  </si>
  <si>
    <t>https://www.bancaditalia.it/compiti/stabilita-https://www.bancaditalia.it/compiti/stabilita-finanziaria/politica-macroprudenziale/lussemburgo/index.html</t>
  </si>
  <si>
    <t>IT.NECI.1587</t>
  </si>
  <si>
    <t>Banca d'Italia decided not to reciprocate the Portoguese sectoral systemic risk buffer (sSyRB) of 4% applying to internal ratings based (IRB) retail exposures to natural persons secured by residential immovable property for which the collateral is located in Portugal.</t>
  </si>
  <si>
    <t>https://www.bancaditalia.it/compiti/stabilita-finanziaria/politica-macroprudenziale/por-2024.07.26/index.html?com.dotmarketing.htmlpage.language=1</t>
  </si>
  <si>
    <t>IT.RECI.1219</t>
  </si>
  <si>
    <t>Banca d'Italia decided to reciprocate the measure from BaFin to have a SyRB for all exposures towards natural and legal persons  that are secured by residential real estate property located in Germany.</t>
  </si>
  <si>
    <t>https://www.bancaditalia.it/compiti/stabilita-finanziaria/politica-macroprudenziale/esrb-20221020/index.html?com.dotmarketing.htmlpage.language=1</t>
  </si>
  <si>
    <t>IT.NECI.462</t>
  </si>
  <si>
    <t>LV.NECI.678</t>
  </si>
  <si>
    <t>LV.NECI.1241</t>
  </si>
  <si>
    <t>Latvia decided not to reciprocate the German systemic risk buffer on (i) all IRB exposures secured by residential immovable property located in Germany, and (ii) all SA-based exposures fully and completely secured by residential immovable property. The reason to not reciprocate is because Latvian credit institutions have no exposure greater than the materiality threshold indicated in the Recommendation ESRB/2015/2.</t>
  </si>
  <si>
    <t>https://www.bank.lv/en/operational-areas/financial-stability/macroprudential-measures-introduced-in-latvia/reciprocity-of-macroprudential-measures-adopted-in-other-countries</t>
  </si>
  <si>
    <t>LV.NECI.1538</t>
  </si>
  <si>
    <t>The Nationale Banque Nationale de Belgique recalibrated the rate of its sectoral systemic risk buffer from 9% to 6%. Latvijas Banka decided not to reciprocate the measure at this stage because none of credit institutions licenced in Latvia have branches or subsidiaries located in Belgium or have relevant exposures above the materiality threshold indicated in the Recommendation ESRB/2015/2.</t>
  </si>
  <si>
    <t>LV.NECI.1229</t>
  </si>
  <si>
    <t>Latvia decid to not reciprocate the 9% systemic risk buffer rate introduced by The national bank of Belgium on all IRB retail exposures to naturel persons secured by residential immovable property for which the collateral is located in Belgium, because of limited exposures for Latvian licenced credit institutions.</t>
  </si>
  <si>
    <t>https://www.bank.lv/en/operational-areas/financial-stability/macroprudential-measures/reciprocity-of-macroprudential-measures-adopted-in-other-countries</t>
  </si>
  <si>
    <t>LV.RECI.287</t>
  </si>
  <si>
    <t>Reciprocation of the Belgian measure of 5 percentage point add-on to the risk weights of IRB banks taken under Art. 458 CRR</t>
  </si>
  <si>
    <t>€1 million</t>
  </si>
  <si>
    <t>LV.NECI.1377</t>
  </si>
  <si>
    <t>Latvias Banka decided, for a second time, to not reciprocate the Norwegian measure of a 4.5% systemic risk buffer rate for exposures in Norway for all credit institutions authorised in Norway, because none of the Latvian credit institutions have branches located in Norway or relevant exposures above the materiality threshold indicated in the recommendation ESRB/2015/2 (also as revised in ESRB/2023/1).
Latvijas Banka will continuously monitor whether the relevant exposures of institutions do not exceed the threshold.</t>
  </si>
  <si>
    <t>Article 134(2)</t>
  </si>
  <si>
    <t>LV.NECI.1032</t>
  </si>
  <si>
    <t>The Financial and Capital Market Commission (FCMC) of the Republic of Latvia decided not to reciprocate the measures introduced by Norway concerning RRE risk-weight floors.</t>
  </si>
  <si>
    <t>https://likumi.lv/ta/id/327306-par-francijas-augstakas-finansu-stabilitates-padomes-lemuma-un-norvegijas-finansu-ministrijas-lemuma-izmantot-eiropas-parlamenta</t>
  </si>
  <si>
    <t>LV.NECI.676</t>
  </si>
  <si>
    <t>https://likumi.lv/ta/id/307731-par-somijas-finansu-uzraudzibas-iestades-lemuma-belgijas-nacionalas-bankas-lemuma-zviedrijas-finansu-inspekcijas-lemuma</t>
  </si>
  <si>
    <t>LV.RECI.288</t>
  </si>
  <si>
    <t>LV.NECI.1034</t>
  </si>
  <si>
    <t>The Financial and Capital Market Commission (FCMC) of the Republic of Latvia decided not to reciprocate the measures introduced by Norway concerning CRE risk-weight floors.</t>
  </si>
  <si>
    <t>LV.NECI.1605</t>
  </si>
  <si>
    <t>Latvijas Banka decided not to reciprocate the 7 % sectoral systemic risk buffer rate on all types of exposures located in Denmark to non-financial corporations operating in real estate activities (and in the development of building projects) at this stage since none of credit institutions licenced in Latvia have branches or subsidiaries located in Denmark or have relevant exposures above the materiality threshold indicated in the Recommendation ESRB/2015/2 (amended by ESRB/2024/3). Latvijas Banka will continuously monitor whether the relevant exposures of institutions do not exceed the threshold.</t>
  </si>
  <si>
    <t>https://likumi.lv/ta/id/336056-par-visparejo-nostaju-attieciba-uz-makrouzraudzibas-politikas-pasakumu-brivpratigu-savstarpeju-atzisanu
https://www.bank.lv/en/operational-areas/financial-stability/macroprudential-measures-introduced-in-latvia/reciprocity-of-macroprudential-measures-adopted-in-other-countries</t>
  </si>
  <si>
    <t>LV.NECI.679</t>
  </si>
  <si>
    <t>LV.NECI.1604</t>
  </si>
  <si>
    <t>Latvijas Banka decided not to reciprocate the 4 % sectoral systemic risk buffer rate on all IRB retail exposures to natural persons secured by residential immovable property for which the collateral is located in Portugal at this stage since none of credit institutions licenced in Latvia have branches or subsidiaries located in Portugal or have relevant exposures above the materiality threshold indicated in the Recommendation ESRB/2015/2 (also as per revised measure in ESRB/2023/13).  Latvijas Banka will continuously monitor whether the relevant exposures of institutions do not exceed the threshold.</t>
  </si>
  <si>
    <t>https://www.bank.lv/en/operational-areas/financial-stability/macroprudential-measures-introduced-in-latvia/reciprocity-of-macroprudential-measures-adopted-in-other-countries
https://likumi.lv/ta/id/336056-par-visparejo-nostaju-attieciba-uz-makrouzraudzibas-politikas-pasakumu-brivpratigu-savstarpeju-atzisanu</t>
  </si>
  <si>
    <t>LV.NECI.1033</t>
  </si>
  <si>
    <t>The Financial and Capital Market Commission (FCMC) of the Republic of Latvia decided not to reciprocate the measure introduced by Luxembourg concerning binding LTV limits for new mortgage RRE loans.</t>
  </si>
  <si>
    <t>LV.NECI.1242</t>
  </si>
  <si>
    <t>Latvia decided not to reciprocate the Dutch average risk weight measure using the IRB approach. Introducing for each individual exposure item that falls within the scope of the measure, a 12 % risk weight to the portion of the loan not exceeding 55 % of the market value of the property that serves to secure the loan, and a 45 % risk weight assigned to the remaining portion of the loan. The reason not to reciprocate is that no Latvian credit institution have branches located in the Netherlands with relevant exposures above the materiality threshold indicated in the Recommendation ESRB/2015/2.</t>
  </si>
  <si>
    <t>LV.NECI.677</t>
  </si>
  <si>
    <t>LV.NECI.1030</t>
  </si>
  <si>
    <t>The Financial and Capital Market Commission (FCMC) of the Republic of Latvia decided not to reciprocate the measure introduced by France concerning a tightening of the large exposure limit.</t>
  </si>
  <si>
    <t>LV.RECI.1149</t>
  </si>
  <si>
    <t>The Financial and Capital Market Commission (FCMC) of the Republic of Latvia has decided to reciprocate the Lithuanian measure of 2.0 % systemic risk buffer rate on all retail exposures to natural persons resident in the Republic of Lithuania that are secured by residential property</t>
  </si>
  <si>
    <t>https://likumi.lv/ta/id/335200</t>
  </si>
  <si>
    <t>LV.NECI.1539</t>
  </si>
  <si>
    <t>Non-reciprocation of the Swedish measure consisting of a minimum level of risk weight floor of 35% for certain corporate exposures secured by commercial properties and a risk weight floor of 25% for certain corporate exposures secured by residential properties. At this stage none of credit institutions licenced in Latvia have branches or subsidiaries located in Sweden or have relevant exposures above the materiality threshold indicated in the Recommendation ESRB/2015/2</t>
  </si>
  <si>
    <t>LV.NECI.1226</t>
  </si>
  <si>
    <t>Latvia decided to not reciprocate the Norwegian measure of a 4.5% systemic risk buffer rate for exposures in Norway for all credit institutions authorised in Norway, because non of the Latvian credit institutions have relevant exposures above the materiality threshold indicated in the recommendation ESRB/2015/2.</t>
  </si>
  <si>
    <t>LV.NECI.1603</t>
  </si>
  <si>
    <t>The Latvia Bank decided to not reciprocate the 1 % systemic risk buffer rate on all credit risk exposures and counterparty credit risk exposures located in Italy since none of credit institutions licenced in Latvia have branches or subsidiaries located in Italy or have relevant exposures above the materiality threshold indicated in the Recommendation ESRB/2015/2 (amended by ESRB/2024/2). Latvijas Banka will continuously monitor whether the relevant exposures of institutions do not exceed the threshold.</t>
  </si>
  <si>
    <t>LI.NECI.1323</t>
  </si>
  <si>
    <t>The Financial Market Authority decided not to reciprocate the Belgian measure of a 9 percent systemic risk buffer rate applicable to a subset of IRB credit institutions for retail exposures secured by residential immovable property. The measure is not applicable in Liechtenstein as all Liechtenstein financial institutions apply the standardized approach to credit risk and the respective exposure is below the EUR 2 billion threshold. The exposure towards mortgages on immovable property amount to just over CHF 5 million.</t>
  </si>
  <si>
    <t>LI.NECI.1362</t>
  </si>
  <si>
    <t>The Financial Market Authority (FMA) has decided not to reciprocate the measure by the Netherlands on a minimum average risk weight for the calculation of regulatory capital requirements  applicable to exposures to natural persons secured by mortgages on residential property located in the Netherlands.</t>
  </si>
  <si>
    <t>LI.NECI.1334</t>
  </si>
  <si>
    <t>Non-reciprocation of the norwegian SyRB (4.5% on Norwegian exposures for IRB banks and 3% on all exposures for banks not using the Avanced IRB Approach)</t>
  </si>
  <si>
    <t>LI.NECI.1344</t>
  </si>
  <si>
    <t>Non-reciprocation of the average risk weights floor of Norway on corporate real estate which has been set  to 35%.</t>
  </si>
  <si>
    <t>LI.NECI.1345</t>
  </si>
  <si>
    <t>Non-reciprocation of the average risk weights floor of Norway on residential estate which has been set  to 20%.</t>
  </si>
  <si>
    <t>LI.NECI.1366</t>
  </si>
  <si>
    <t>The Financial Market Authority (FMA) decided not to reciprocate the French Sectoral Systemic Risk Buffer targetting  large exposure limits for highly indebted large NFCs.</t>
  </si>
  <si>
    <t>1365</t>
  </si>
  <si>
    <t>LI.NECI.1368</t>
  </si>
  <si>
    <t>The Financial Market Authority (FMA) has decided not to reciprocate a 2% Systemic Risk Buffer on all retail exposures to natural persons that are secured by residential property activated by Germany.</t>
  </si>
  <si>
    <t>LI.NECI.1616</t>
  </si>
  <si>
    <t>The Belgian 6% SyRB measure is not applicable in Liechtenstein because all Liechtenstein financial institutions apply the standardized approach to credit risk and the respective exposure is below the EUR 2 billion threshold. The exposure towards mortgages on immovable property amount to below CHF 5 million.</t>
  </si>
  <si>
    <t>LI.NECI.1516</t>
  </si>
  <si>
    <t>The Financial Market Authority (FMA) has decided not to reciprocate the Portuguese 4% sectoral SyRB, that is applicable on IRB retail exposures secured by residential immovable property for which the collateral is located in Portugal.</t>
  </si>
  <si>
    <t>EUR 1 billion</t>
  </si>
  <si>
    <t>LI.NECI.1546</t>
  </si>
  <si>
    <t>Non reciprocation of a 0.5% sectoral systemic risk buffer rate on all credit and counterparty default risk positions in Italy from December 31st 2024 to June 29th 2025, and a buffer of 1% from June 30th 2025 onwards. The total exposure of Liechtenstein’s financial institutions towards Italy amount to CHF 400 million, which is far below the de minimis threshold of EUR 25 bn.</t>
  </si>
  <si>
    <t>https://www.fma-li.li/files/fma/tabelle-reziprozitat-en.pdf</t>
  </si>
  <si>
    <t>LI.NECI.1594</t>
  </si>
  <si>
    <t>Liechtenstein has decided not to reciprocate Danish measure a 7% sectoral systemic risk buffer rate on all types of exposures located in Denmark to non-financial corporations operating in real estate activities and in the development of building projects. The measure is not applicable in Liechtenstein because the total exposure of Liechtenstein banks towards Denmark is below the EUR 200 million threshold</t>
  </si>
  <si>
    <t>FMA website</t>
  </si>
  <si>
    <t>LI.NECI.1547</t>
  </si>
  <si>
    <t>LI.NECI.1333</t>
  </si>
  <si>
    <t>Non-reciprocation of the 2% systemic risk buffer for retail exposure of Lithuania.</t>
  </si>
  <si>
    <t>LI.NECI.950</t>
  </si>
  <si>
    <t>Financial Market Authority Liechtenstein (FMA) made a decision of non-reciprocation of Belgium Article 458.</t>
  </si>
  <si>
    <t>LI.NECI.826</t>
  </si>
  <si>
    <t>Non-reciprocation of the Finnish measure consisting of a credit institution-specific minimum level of 15% for the average risk-weight on loans secured by a mortgage on housing units in Finland applicable to credit institutions using the internal ratings based (IRB) approach, under Article 458. Since all institutions in Liechtenstein apply the standardized approach, no measures have to be applied for reciprocation.</t>
  </si>
  <si>
    <t>LI.NECI.954</t>
  </si>
  <si>
    <t>Financial Market Authority Liechtenstein (FMA) made a decision of non-reciprocation of Sweden Article 458.</t>
  </si>
  <si>
    <t>LI.NECI.1336</t>
  </si>
  <si>
    <t>Non-reciprocation of a measure from Luxembourg that activates a legally binding LTV limits for new mortgage loans on residential immovable property located in Luxembourg</t>
  </si>
  <si>
    <t>LI.NECI.825</t>
  </si>
  <si>
    <t>Non-reciprocation of the Belgian measure of 5 percentage point add-on to the risk weights of IRB credit institutions, and a proportionate risk-weight add-on consisting of 33 per cent of the exposure-weighted average of the risk-weights applied to the portfolio of retail exposures secured by residential immovable property located in Belgium. Since all institutions in Liechtenstein apply the standardized approach, no measures have to be applied for reciprocation.</t>
  </si>
  <si>
    <t>LI.NECI.952</t>
  </si>
  <si>
    <t>Financial Market Authority Liechtenstein (FMA) made a decision of non-reciprocation of Luxembourg LTV.</t>
  </si>
  <si>
    <t>LI.NECI.828</t>
  </si>
  <si>
    <t>Non-reciprocation of the Swedish article 458  measure (a credit insitution-specific floor of 25 per cent for the exposure-weighted average of the risk weights applied to the portfolio of retail exposures to obligors residing in Sweden secured by immovable property, to credit institutions authorised in Sweden and using the IRB Approach for calculating regulatory capital requirements.). Since all institutions in Liechtenstein apply the standardized approach, no measures have to be applied for reciprocation.</t>
  </si>
  <si>
    <t>LI.NECI.953</t>
  </si>
  <si>
    <t>Financial Market Authority Liechtenstein (FMA) made a decision of non-reciprocation of Norway SyRB.</t>
  </si>
  <si>
    <t>LI.NECI.951</t>
  </si>
  <si>
    <t>Financial Market Authority Liechtenstein (FMA) made a decision of non-reciprocation of France Article 458 for tighter large exposure limits for highly indebted large NFCs.</t>
  </si>
  <si>
    <t>LI.NECI.827</t>
  </si>
  <si>
    <t>Non-reciprocation of the French measure consisting of a tightening of large exposure limits applicable to highly indebted large non-financial corporations that are resident in France taken under Article 458 CRR. Due to the de minimis principle, however, the measure is not applicable in Liechtenstein, since:
(a) All financial institutions, which fall below the materiality threshold outlined in ESRB/2018/8, are exempted.
(b) The exposures of the Liechtenstein financial institutions are deemed non-material as the total exposure of the supervised financial institutions towards the French corporate sector is below CHF 600 mil. and total exposure towards the French economy is below CHF 1.7 bn.
(c) The exposure towards the French NFC sector will be reviewed annually. A need for action will arise in case a financial institution breaches the de minimis principle.</t>
  </si>
  <si>
    <t>LI.NECI.1361</t>
  </si>
  <si>
    <t>The Financial Market Authority (FMA) has decided not to reciprocate the 25% risk weight floor for mortgage loans by Sweden.</t>
  </si>
  <si>
    <t>LT.RECI.1279</t>
  </si>
  <si>
    <t>Lietuvos bankas (Bank of Lithuania) decided to reciprocate the measure of Germany of a a 2 % systemic risk buffer rate on: 	IRB exposures secured by residential immovable property located in Germany, ad 	all SA-based exposures fully and completely secured by residential immovable propert located in Germany.</t>
  </si>
  <si>
    <t>Lithuania decided to use a materiality threshold of 50 million euros from November 8 onwards.</t>
  </si>
  <si>
    <t>LT.RECI.1643</t>
  </si>
  <si>
    <t>Reciprocation, using same legal instrument, of: 
A 0,5 % systemic risk buffer rate on all credit risk exposures and counterparty credit risk exposures located in Italy, applicable from 31 December 2024 until 29 June 2025; increasing to a 1 % systemic risk buffer rate on all credit risk exposures and counterparty credit risk exposures located in Italy, applicable from 30 June 2025.</t>
  </si>
  <si>
    <t>LT.RECI.296</t>
  </si>
  <si>
    <t>Reciprocation of 1-percent systemic risk buffer rate applied to the domestic exposures of all credit institutions in Estonia.</t>
  </si>
  <si>
    <t>https://www.e-tar.lt/portal/lt/legalAct/6b6f7ad0a72711e69ad4c8713b612d0f</t>
  </si>
  <si>
    <t>LT.RECI.1264</t>
  </si>
  <si>
    <t>Lietuvos bankas (Bank of Lithuania) decided to reciprocate the measure of Luxemburg of a legally binding loan-to-value (LTV) limits for new mortgage loans on residential real estate, with different LTV limits applicable to different categories of borrowers.</t>
  </si>
  <si>
    <t>https://www.lb.lt/lt/finansinio-stabilumo-uztikrinimo-priemones#ex-1-7</t>
  </si>
  <si>
    <t>LT.RECI.1641</t>
  </si>
  <si>
    <t>Reciprocation of the following measure, using the same legal instrument: 
A 7 % sectoral systemic risk buffer rate on all types of exposures located in Denmark to non-financial corporations operating in real estate activities and in the development of building projects</t>
  </si>
  <si>
    <t>LT.RECI.1513</t>
  </si>
  <si>
    <t>Decision by Lietuvos Bankas to reciprocate the 6% Belgian sectoral SyRB, that is applicable on all IRB retail exposures to natural persons secured by residential immovable property for which the collateral is in Belgium.</t>
  </si>
  <si>
    <t>LT.RECI.1260</t>
  </si>
  <si>
    <t>Lithuania decided to reciprocate the French measure, of a tightening of the large exposure limit provided for in Article 395(1) of Regulation (EU) No 575/2013. Lithuania will use a materiality threshold of 50 million euros from November 8, 2023 onwards</t>
  </si>
  <si>
    <t>Lithuania will use a materiality threshold of 50 million euros from November 8, 2023 onwards</t>
  </si>
  <si>
    <t>LT.RECI.659</t>
  </si>
  <si>
    <t>EUR 1 billion (following the proposed combined materiality thresholds set out in ESRB/2018/8</t>
  </si>
  <si>
    <t>LT.RECI.1259</t>
  </si>
  <si>
    <t>Lithuania decided to reciprocate the Dutch minimum average risk weight applied in accordance with Article 458(2)(d)(vi) of Regulation (EU) No 575/2013 to credit institutions authorised in the Netherlands. Lithuania decided to use a materiality threshold of 50 million from November 8 onwards.</t>
  </si>
  <si>
    <t>Lithuania decided to use a materiality threshold of 50 million from November 8 onwards.</t>
  </si>
  <si>
    <t>LT.RECI.1266</t>
  </si>
  <si>
    <t>Lietuvos bankas (Bank of Lithuania) reciprocated the Norwegian measure of: 1) a 20 % average risk weight floor for residential real estate exposures and 2) 35 % average risk weight floor for commercial real estate exposures.</t>
  </si>
  <si>
    <t>LT.RECI.1278</t>
  </si>
  <si>
    <t>Lietuvos bankas (Bank of Lithuania) decided to reciprocate the measure of Belgium of a 9% systemic risk buffer rate on all IRB retail exposures to natural persons secured by residential immovable property for which the collateral is located in Belgium.</t>
  </si>
  <si>
    <t>LT.RECI.270</t>
  </si>
  <si>
    <t>https://www.e-tar.lt/portal/lt/legalAct/a42cfdb057c311e6b72ff16034f7f796</t>
  </si>
  <si>
    <t>LT.RECI.481</t>
  </si>
  <si>
    <t>LT.RECI.1642</t>
  </si>
  <si>
    <t>Reciprocation, using the same legal instrument, of: 
A 4 % sectoral systemic risk buffer rate on all IRB retail exposures to natural persons secured by residential immovable property for which the collateral is located in Portugal.</t>
  </si>
  <si>
    <t>LT.RECI.1495</t>
  </si>
  <si>
    <t>Lithuania decided to reciprocate the Swedish measure.</t>
  </si>
  <si>
    <t>LT.RECI.685</t>
  </si>
  <si>
    <t>No "de minimis"threshold</t>
  </si>
  <si>
    <t>LT.RECI.592</t>
  </si>
  <si>
    <t>LT.RECI.1265</t>
  </si>
  <si>
    <t>Lietuvos bankas (Bank of Lithuania) reciprocated the Norwegian measure of ) a 4,5 % systemic risk buffer rate for exposures.</t>
  </si>
  <si>
    <t>LU.NECI.986</t>
  </si>
  <si>
    <t>After coordinating with the Banque centrale du Luxembourg (BCL) and in following with the Systemic Risk Committee (CdRS) Recommendation (CRS/2021/003) of 26 July 2021, the CSSF made a decision of non-reciprocating the Norway Article 458 for CRE exposure. The CSSF decided to non reciprocate since there is no Luxembourg credit institution that has an exposure (either direct or indirect-via a branch) that is greater than or equal to the institution-specific thresholds fixed by the Norwegian Ministry of Finance for the commercial real estate market segment.</t>
  </si>
  <si>
    <t>http://cdrs.lu/wp-content/uploads/2021/07/CRS_2021_003-Recommandation-du-Comit%C3%A9-du-risque-syst%C3%A9mique-du-26-juillet-2021-relative-%C3%A0-la-r%C3%A9ciprocit%C3%A9-de-la-mesure-norv%C3%A9gienne.pdf</t>
  </si>
  <si>
    <t>LU.NECI.1205</t>
  </si>
  <si>
    <t>Luxemborug decided not to reciprocate the Dutch minimum average risk weights for credit institutions authorised in the Netherlands, using the IRB approach for calculating regulatory capital requirements in relation to their portfolios of exposures to natural persons secured by residential property located in the Netherlands. The reason for non-reciprocation is the limited exposure of Luxembourgd IRB banks to the Netherlands.</t>
  </si>
  <si>
    <t>https://cdrs.lu/wp-content/uploads/2022/07/Avis-du-CdRS-du-26_07_22-relatif-a-la-reciprocite-de-la-mesure-neerlandaise-mettant-en-place-une-ponderation-de-risque-moyenne.pdf</t>
  </si>
  <si>
    <t>LU.NECI.1199</t>
  </si>
  <si>
    <t>Luxembourg decided to not reciprocate the Belgium systemic risk buffer rate, as IRB retail exposures, secured by immovable residential property vis-à-vis individuals located in Belgium, reported by LU credit institutions are well below the institution-specific materiality threshold fixed by the Banque Nationale de Belgique.</t>
  </si>
  <si>
    <t>https://cdrs.lu/wp-content/uploads/2022/08/Avis-du-CdRS-du-12_08_22-relatif-a-la-reciprocite-du-coussin-pour-le-risque-systemique-adopte-par-la-BNB.pdf</t>
  </si>
  <si>
    <t>LU.NECI.598</t>
  </si>
  <si>
    <t>http://cdrs.lu/wp-content/uploads/2019/01/Recommandation-du-Comité-du-risque-systémique-du-07-janvier-2019-relative-à-la-réciprocité-de-la-mesure-de-la-Banque-Nationale-de-Belgique.pdf</t>
  </si>
  <si>
    <t>LU.NECI.1186</t>
  </si>
  <si>
    <t>After coordinating with the Banque centrale du Luxembourg (BCL) and in following with the Systemic Risk Committee (CdRS) Opinion of 26 July 2022  (CRS/2022/004), the CSSF decided not to reciprocate the Lithuanian macroprudential measure as there is no Luxembourg bank that reports retail exposures, secured by residential real estate property in Lithuania, that are greater than or equal to the institution-specific threshold fixed by the Bank of Lithuania.</t>
  </si>
  <si>
    <t>https://cdrs.lu/wp-content/uploads/2022/07/Avis-du-CdRS-du-26_07_22-relatif-a-la-reciprocite-du-coussin-pour-le-risque-systemique-adopte-par-la-Banque-centrale-de-Lituanie.pdf</t>
  </si>
  <si>
    <t>LU.NECI.1541</t>
  </si>
  <si>
    <t>After coordinating with the Banque centrale du Luxembourg (BCL) and in following with the Systemic Risk Committee (CdRS) Recommendation of 10 June 2024  (CRS/2024/004), the CSSF decided not to reciprocate the 7% Danish sectoral systemic risk buffer rate on all types of exposures located in Denmark to non-financial corporations operating in real estate activities and in the development of building projects. There are no Luxembourg credit institutions with exposures towards Danish non-financial corporations operating in construction and real estate activities that are greater than or equal to the institution-specific materiality threshold fixed by the Danish authorities. Taking into account the adjustments introduced to the measure on 7 June 2024 by the Danish authorities, the non-reciprocation decision has been confirmed by the CdRS Recommendation of 16 September 2024 (CRS/2024/009).</t>
  </si>
  <si>
    <t>https://cdrs.lu/wp-content/uploads/2024/06/Avis-CdRS-du-10-juin-2024_Reciprocite-du-coussin-pour-le-risque-systemique-sectoriel-adopte-par-le-ministere-danois.pdf
https://cdrs.lu/wp-content/uploads/2024/09/Avis-CdRS-16_09_2024-Reciprocite-du-coussin-pour-le-risque-systemique-sectoriel-ajuste-adopte-par-le-ministere-danois.pdf</t>
  </si>
  <si>
    <t>LU.RECI.323</t>
  </si>
  <si>
    <t>http://www.bcl.lu/fr/stabilite_surveillance/CRS/Avis_CdRS_reciprocite-estonie_2016_008.pdf
http://www.cssf.lu/fileadmin/files/Lois_reglements/Legislation/RG_CSSF/RCSSF_No16-14.pdf</t>
  </si>
  <si>
    <t>LU.NECI.661</t>
  </si>
  <si>
    <t>Non-reciprocation of the French measure consisting of a tightening of large exposure limits applicable to highly indebted large non-financial corporations that are resident in France taken under Article 458 CRR. 
Update: After coordinating with the Banque centrale du Luxembourg (BCL) and in following with the Systemic Risk Committee (CdRS) Recommendation (CRS/2021/006) of 22 November 2021, the Commission de Surveillance du Secteur Financier (CSSF) decided not to reciprocate the French measure on the tightening of the large exposure limit.</t>
  </si>
  <si>
    <t>http://cdrs.lu/wp-content/uploads/2019/05/Recommandation-du-CdRS-du-10-mai-2019-relative-à-la-réciprocité-de-la-mesure-Française-CRS_2019_004.pdf
http://cdrs.lu/wp-content/uploads/2021/11/CRS_2021_006-Recommandation-du-CdRS-du-22_11_2021-relative-%C3%A0-la-prorogation-de-la-r%C3%A9ciprocit%C3%A9-de-la-mesure-adopt%C3%A9e-par-le-HCSF.pdf</t>
  </si>
  <si>
    <t>LU.NECI.660</t>
  </si>
  <si>
    <t>http://cdrs.lu/wp-content/uploads/2019/04/RECOMMANDATION-DU-COMITÉ-DU-RISQUE-SYSTÉMIQUE-du-23-avril-2019-relative-à-la-réciprocité-de-la-mesure-suédoise.pdf</t>
  </si>
  <si>
    <t>LU.RECI.918</t>
  </si>
  <si>
    <t>Reciprocation of the Belgian measure of 5 percentage point add-on to the risk weights of IRB credit institutions taken under Art. 458 CRR. Institutions covered are Belgian branches of Luxembourg credit institutions.</t>
  </si>
  <si>
    <t>Branches only</t>
  </si>
  <si>
    <t>90</t>
  </si>
  <si>
    <t>http://www.bcl.lu/fr/stabilite_surveillance/CRS/CRS_2016-005_Recomm_reciprocation_BE_Secretariat-CRS.pdf
http://www.cssf.lu/fileadmin/files/Lois_reglements/Legislation/RG_CSSF/RCSSF_No16-04.pdf</t>
  </si>
  <si>
    <t>LU.NECI.1386</t>
  </si>
  <si>
    <t>After coordinating with the Banque centrale du Luxembourg (BCL) and in following with the Systemic Risk Committee (CdRS) Opinion of 4 August 2023  (CRS/2023/003), the Commission de Surveillance du Secteur Financier (CSSF) decided not to reciprocate the Norwegian systemic risk buffer for exposures in Norway (SyRB).</t>
  </si>
  <si>
    <t>https://cdrs.lu/wp-content/uploads/2023/08/Avis-du-CdRS-du-04_08_2023-Reciprocite-du-coussin-pour-le-risque-systemique-adopte-par-le-ministere-des-Finances-norvegien.pdf</t>
  </si>
  <si>
    <t>LU.NECI.468</t>
  </si>
  <si>
    <t>http://www.bcl.lu/fr/stabilite_surveillance/CRS/CRS_2018_002_6-avril-2018.pdf</t>
  </si>
  <si>
    <t>LU.NECI.1089</t>
  </si>
  <si>
    <t>After coordinating with the Banque centrale du Luxembourg (BCL) and in following with the Systemic Risk Committee (CdRS) Opinion of 14 February 2022  (CRS/2022/001), the Commission de Surveillance du Secteur Financier (CSSF) decided not to reciprocate the Norwegian measure on the 4.5% systemic risk buffer rate for exposures in Norway (SyRB).</t>
  </si>
  <si>
    <t>http://cdrs.lu/wp-content/uploads/2022/02/CRS_2022_001-Avis-du-CdRS-du-14-f%C3%A9vrier-2022-relatif-%C3%A0-la-r%C3%A9ciprocit%C3%A9-du-coussin-pour-le-risque-syst%C3%A9mique-adopt%C3%A9-par-la-Norv%C3%A8ge.pdf</t>
  </si>
  <si>
    <t>LU.NECI.1202</t>
  </si>
  <si>
    <t>Luxembourg decided to not reciprocate the german systemic risk buffer on (i) all IRB exposures secured by residential immovable property located in Germany, and (ii) all SA-based exposures fully and completely secured by residential immovable property. The reason to not reciprocate is because Luxembourg credit institutions have no exposure greater than the threshold fixed by BaFin.</t>
  </si>
  <si>
    <t>https://cdrs.lu/wp-content/uploads/2022/09/Avis-du-CdRS-du-19_09_2022-Reciprocite-du-coussin-pour-le-risque-systemique-adopte-par-lAutorite-allemande.pdf</t>
  </si>
  <si>
    <t>LU.NECI.1698</t>
  </si>
  <si>
    <t>After coordinationg with the Banque Centrale de Luxembourg (BCL), and in following with the Systemic Risk Committee (CdRS) Recommendation of 16 September 2024 (CRS/2024/008), the CSSF decided not to reciprocate the Italian SyRB as there is no Luxmbourg bank that reports relevant exposures above the materiality threshold set by the Italian authorities.</t>
  </si>
  <si>
    <t>LU.NECI.985</t>
  </si>
  <si>
    <t>After coordinating with the Banque centrale du Luxembourg (BCL) and in following with the Systemic Risk Committee (CdRS) Recommendation (CRS/2021/003) of 26 July 2021, the CSSF made a decision non-reciprocating the Norwegian Article 458 for RRE exposures. The CSSF decided to non reciprocate since there is no Luxembourg credit institution that has an exposure (either direct or indirect-via a branch) that is greater than or equal to the institution-specific threshold fixed by the Norwegian Ministry of Finance for the residential real estate market segment.</t>
  </si>
  <si>
    <t>LU.NECI.1540</t>
  </si>
  <si>
    <t>After coordinating with the Banque centrale du Luxembourg (BCL) and in following with the Systemic Risk Committee (CdRS) Recommendation of 10 June 2024  (CRS/2024/005), the CSSF decided not to reciprocate the 4% portuguese systemic risk buffer rate on all IRB  retail exposures to natural persons secured by residential immovable property for which the collateral is located in Portugal. There are no Luxembourg IRB credit institutions with retail exposures secured by residential immovable property located in Portugal that are greater than or equal to the institution-specific materiality threshold fixed by the BdP.</t>
  </si>
  <si>
    <t>https://cdrs.lu/wp-content/uploads/2024/06/Avis-CdRS-du-10-juin-2024_Reciprocite-du-coussin-pour-le-risque-systemique-sectoriel-adopte-par-Banco-de-Portugal.pdf</t>
  </si>
  <si>
    <t>LU.NECI.1522</t>
  </si>
  <si>
    <t>After coordinating with the Banque centrale du Luxembourg (BCL) and in following with the Systemic Risk Committee (CdRS) Recommendation of 13 October 2023  (CRS/2023/006), the CSSF decided not to reciprocate the Swedish macroprudential measure, as there is no Luxembourg IRB bank that reports corporate exposures secured by residential or commercial properties located in Sweden above the materiality threshold of SEK 5 billion set by the Swedish authorities."</t>
  </si>
  <si>
    <t>https://cdrs.lu/wp-content/uploads/2023/10/Recommandation-du-CdRS-13_10_2023-Reciprocite-de-la-mesure-suedoise-concernant-l-immobilier-commercial-et-residentiel.pdf</t>
  </si>
  <si>
    <t>LU.NECI.1528</t>
  </si>
  <si>
    <t>After coordinating with the Banque centrale du Luxembourg (BCL) and in following with the Systemic Risk Committee (CdRS) Recommendation of 15 March 2024  (CRS/2024/002), the CSSF decided not to reciprocate the Belgian sectoral SyRB as there is no Luxembourg IRB bank that reports exposures secured by residential property located in Belgium above the materiality threshold of EUR 2 billion set by the Belgian authorities."</t>
  </si>
  <si>
    <t>https://cdrs.lu/wp-content/uploads/2024/03/Avis-du-CdRS-15-mars-2024_Reciprocite-du-coussin-pour-le-risque-systemique-sectorial-ajuste-par-la-BNB.pdf</t>
  </si>
  <si>
    <t>MT.NECI.338</t>
  </si>
  <si>
    <t>MT.NECI.1588</t>
  </si>
  <si>
    <t>The Central Bank of Malta decided not to reciprocate a SyRB of 0.5% that will apply from 31 December 2024 (to increase to 1% from 30 June 2025) applicable on all credit risk and counterparty credit risk exposures located in Italy.</t>
  </si>
  <si>
    <t>https://www.centralbankmalta.org/reciprocity</t>
  </si>
  <si>
    <t>MT.NECI.1590</t>
  </si>
  <si>
    <t>The Central Bank of Malta decided not to reciprocate the Danish sSyRB of 7 percent applicable to all types of exposures located in Denmark to non-financial corporations operating in real estate activities and in the development of building projects with the exemption of the part of each exposure that lies in the 0-15% loan-to-value-band.</t>
  </si>
  <si>
    <t>MT.NECI.961</t>
  </si>
  <si>
    <t>Central Bank of Malta made a decision of non-reciprocation of a 35% average risk weight floor for commercial real estate exposures in Norway to credit institutions, authorised in Norway, using the IRB approach for calculating regulatory capital requirements. The Central Bank of Malta has decided not to reciprocate the measures mentioned above, given that Maltese credit institutions do not have material exposures towards the mortgage market in Norway. In addition, Maltese credit institutions do not make use of IRB models for the purpose of calculating their regulatory capital requirements.</t>
  </si>
  <si>
    <t>MT.NECI.1580</t>
  </si>
  <si>
    <t>The Central Bank of Malta decided not to reciprocate the Danish sSyRB of 7% applicable to all types of 
exposures located in Denmark to non-financial corporations operating in real estate activities and in the development of building projects with the exemption of the part of each exposure that lies in the 0-15% loan-to-value-band.</t>
  </si>
  <si>
    <t>MT.NECI.715</t>
  </si>
  <si>
    <t>Non-reciprocation of the Finnish measure consists of a credit institution-specific minimum level of 15% for the average risk-weight on loans secured by a mortgage on housing units in Finland applicable to credit institutions using the internal ratings based (IRB) approach, under Article 458. This is in view that Maltese credit institutions do not make use of IRB models for the purpose of calculating their regulatory capital requirements. In addition, Maltese credit institutions have no material exposures towards the Finnish mortgage market.</t>
  </si>
  <si>
    <t>MT.NECI.1579</t>
  </si>
  <si>
    <t>The Central Bank of Malta decided not to reciprocate the Portugese Sectoral Systemic Risk Buffer of 4% applicable to IRB retail exposures secured by residential immovable property for which the collateral (immovable property) is located in Portugal.</t>
  </si>
  <si>
    <t>MT.NECI.959</t>
  </si>
  <si>
    <t>Central Bank of Malta made a decision of non-reciprocation of a 4.5% systemic risk buffer rate for exposures in Norway to all credit institutions authorised in Norway. The Central Bank of Malta has decided not to reciprocate the measures mentioned above, given that Maltese credit institutions do not have material exposures towards the mortgage market in Norway.</t>
  </si>
  <si>
    <t>MT.NECI.1657</t>
  </si>
  <si>
    <t>The Central Bank of Malta has decided not to reciprocate the Belgian measure on the basis of inapplicability of the measure, since all domestic banks make use of the standardised approach for the purposes of calculating
their regulatory capital requirements. In addition, the exposures of Maltese credit institutions do not surpass the
institution-level maximum materiality threshold for reciprocation as suggested by the National Bank of Belgium (NBB).</t>
  </si>
  <si>
    <t>133 CRD</t>
  </si>
  <si>
    <t>MT.NECI.960</t>
  </si>
  <si>
    <t>The Central Bank of Malta made a decision of non-reciprocation of a 20% average risk weight floor for residential real estate exposures in Norway to credit institutions, authorised in Norway, using the IRB approach for calculating regulatory capital requirements. The Central Bank of Malta has decided not to reciprocate the measures mentioned above, given that Maltese credit institutions do not have material exposures towards the mortgage market in Norway. In addition, Maltese credit institutions do not make use of IRB models for the purpose of calculating their regulatory capital requirements.</t>
  </si>
  <si>
    <t>MT.RECI.289</t>
  </si>
  <si>
    <t>MT.NECI.713</t>
  </si>
  <si>
    <t>Non-reciprocation of the Belgian measure of 5 percentage point add-on to the risk weights of IRB credit institutions and of a proportionnate risk-weight add-on consisting of 33 per cent of the exposure-weighted average of the risk-weights applied to the portfolio of retail exposures secured by residential immovable property located in Belgium, in view that Maltese credit institutions do not make use of IRB models for the purpose of calculating their regulatory capital requirements. In addition, Maltese credit institutions have no material exposures towards the Belgian mortgage market.</t>
  </si>
  <si>
    <t>MT.NECI.958</t>
  </si>
  <si>
    <t>Central Bank of Malta made a decision of non-reciprocation of Luxembourg LTV. The Central Bank of Malta has decided not to reciprocate the measure mentioned above, given that Maltese credit institutions do not have material exposures towards the mortgage market in Luxembourg.</t>
  </si>
  <si>
    <t>MT.NECI.716</t>
  </si>
  <si>
    <t>Non-reciprocation of the Swedish article 458  measure (a credit insitution-specific floor of 25 per cent for the exposure-weighted average of the risk weights applied to the portfolio of retail exposures to obligors residing in Sweden secured by immovable property, to credit institutions authorised in Sweden and using the IRB Approach for calculating regulatory capital requirements). This is in view that  Maltese credit institutions do not make use of IRB models for the purpose of calculating their regulatory capital requirements. In addition, Maltese credit institutions have no material exposures towards the Swedish mortgage market.</t>
  </si>
  <si>
    <t>MT.NECI.1472</t>
  </si>
  <si>
    <t>The Central Bank of Malta decided not to reciprocate the Belgian sectoral systemic risk buffer on IRB retail exposures secured by residential immovable property for which the collateral is located in Belgium on the basis of inapplicability of the measure since all Maltese credit institutions use the standardized approach for the purposes of calculating their regulatory capital requirements.  In addition, Maltese credit institutions do not have material exposures to the Belgian real estate market.</t>
  </si>
  <si>
    <t>MT.NECI.1184</t>
  </si>
  <si>
    <t>Central Bank of Malta has not reciprocated the German measure of a 2 % systemic risk buffer rate on (i) all IRB exposures secured by residential immovable property located in Germany, and (ii) all SA-based exposures fully and completely secured by residential immovable property, which is located in Germany, on the basis that Maltese credit institutions do not have material exposures secured by residential property, located in Germany.</t>
  </si>
  <si>
    <t>MT.NECI.1129</t>
  </si>
  <si>
    <t>The Central Bank of Malta has decided not to reciprocate the Belgian measure rearding the sectoral systemic risk buffer rate of
9% on all retail exposures secured by residential immovable property for which the collateral is located in Belgium, on the basis of inapplicability of the measure since all Maltese credit institutions use the standardized approach for the purposes of calculating their regulatory capital requirements.  In addition, Maltese credit institutions do not have material exposures to the Belgian real estate market.</t>
  </si>
  <si>
    <t>MT.NECI.1124</t>
  </si>
  <si>
    <t>The Central Bank of Malta has decided not to reciprocate the Lithuanian measures on the basis that the Maltese credit institutions do not have material exposures to natural persons in Lithuania that are secured by residential property.</t>
  </si>
  <si>
    <t>MT.NECI.1413</t>
  </si>
  <si>
    <t>The Central Bank of Malta has decided not to reciprocate the Swedish measure regarding risk weight floors for corporate exposures secured by commercial and residential properties  on the basis that Maltese credit institutions do not make use of IRB models for the purpose of calculating regulatory capital requirements. In addition, Maltese credit institutions do not have material exposures to the Swedish corporate sector.</t>
  </si>
  <si>
    <t>MT.NECI.777</t>
  </si>
  <si>
    <t>The Central Bank of Malta has decided not to reciprocate the French measure, given that Maltese O-SIIs have no material exposures towards the French NFC market, especially towards NFCs classified as highly indebted large NFCs having their registered office in France.</t>
  </si>
  <si>
    <t>MT.NECI.1125</t>
  </si>
  <si>
    <t>The Central Bank of Malta has decided not to reciprocate the Dutch measures, regarding a minimum average risk weight on exposures to natural persons secured by mortgages located in the Netherlands, on the basis of inapplicability of the measures since all Maltese credit institutions use the standardized approach for the purpose of calculating their regulatory capital requirements.</t>
  </si>
  <si>
    <t>NL.NECI.683</t>
  </si>
  <si>
    <t>NL.RECI.1527</t>
  </si>
  <si>
    <t>DNB has decided to reciprocate the decreased Belgian measure which imposes a 6% systemic risk buffer rate on IRB retail exposures to natural persons secured by residential immovable property for which the collateral is located in Belgium.</t>
  </si>
  <si>
    <t>https://www.dnb.nl/voor-de-sector/open-boek-toezicht/sectoren/banken/prudentieel-toezicht/factsheet/reciprocated-foreign-macroprudential-measures/</t>
  </si>
  <si>
    <t>NL.NECI.943</t>
  </si>
  <si>
    <t>De Nederlandsche Bank made a decision to non-reciprocation of the Luxembourg LTV. The non-reciprocation decision was taken as none of the relevant institutions meet the materiality threshold. DNB will monitor the materiality of exposures of Dutch banks and will periodically evaluate the decision to not reciprocate.</t>
  </si>
  <si>
    <t>NL.NECI.944</t>
  </si>
  <si>
    <t>De Nederlandsche Bank made a decision of non reciprocation of the Norway SyRB 4.5%. DNB has decided to not reciprocate the measures activated by Norway, as none of the relevant institutions meet the materiality threshold. DNB will monitor the materiality of exposures of Dutch banks and will periodically evaluate the decision to not reciprocate</t>
  </si>
  <si>
    <t>NL.NECI.635</t>
  </si>
  <si>
    <t>Art. 133</t>
  </si>
  <si>
    <t>NL.NECI.1104</t>
  </si>
  <si>
    <t>De Nederlandsche Bank decided not to reciprocate the institution-specific average risk weight floor of 25% for Swedish mortgage exposures.</t>
  </si>
  <si>
    <t>NL.RECI.1254</t>
  </si>
  <si>
    <t>De Nederlandsche Bank (DNB) reciprocated the German systemic risk buffer measure which imposes a 2% systemic risk buffer rate on all exposures to natural and legal persons.</t>
  </si>
  <si>
    <t>NL.RECI.1390</t>
  </si>
  <si>
    <t>De Nederlandsche Bank has decided to reciprocate the extended measure that consists of a systemic risk buffer requirement with a 4,5% rate for exposures in Norway. The extended measure is subject to a lower materiality threshold compared to the initially introduced measure in 2021 (Now the institution-specific threshold is NOK 5 billion of risk-weighted exposures).</t>
  </si>
  <si>
    <t>NL.NECI.946</t>
  </si>
  <si>
    <t>De Nederlandsche Bank made a decision of non-reciprocation of Norway Article 458 for CRE exposure. DNB has decided to not reciprocate the measures activated by Norway, as none of the relevant institutions meet the materiality threshold. DNB will monitor the materiality of exposures of Dutch banks and will periodically evaluate the decision to not reciprocate.</t>
  </si>
  <si>
    <t>NL.NECI.1599</t>
  </si>
  <si>
    <t>NB does not reciprocate the Italian sSyRB of 1% as the materiality threshold is not being met neither on the individual nor the consolidated level.</t>
  </si>
  <si>
    <t>NL.RECI.1010</t>
  </si>
  <si>
    <t>De Nederlandsche Bank (DNB) decided to extend the reciprocation of Belgium Article 458.</t>
  </si>
  <si>
    <t>https://www.dnb.nl/voor-de-sector/open-boek-toezicht-sectoren/banken/prudentieel-toezicht/factsheet/reciprocation-of-the-belgian-macroprudential-measure-combined-risk-weight-increase-for-mortgage-loans/</t>
  </si>
  <si>
    <t>NL.NECI.478</t>
  </si>
  <si>
    <t>NL.NECI.1600</t>
  </si>
  <si>
    <t>DNB will  not reciprocate the DK 7% SyRB measure since materiality threshold is not met neither on the individual nor the consolidated level.</t>
  </si>
  <si>
    <t>NL.RECI.318</t>
  </si>
  <si>
    <t>http://www.toezicht.dnb.nl/en/2/51-235878.jsp</t>
  </si>
  <si>
    <t>NL.NECI.1011</t>
  </si>
  <si>
    <t>De Nederlandsche Bank (DNB) decided to extend the non-reciprocation of France Article 458 for NFC large exposure.</t>
  </si>
  <si>
    <t>NL.NECI.1263</t>
  </si>
  <si>
    <t>De Nederlandsche Bank (DNB) has decided to not reciprocate the Lithuanian systemic risk buffer measure.</t>
  </si>
  <si>
    <t>NL.NECI.636</t>
  </si>
  <si>
    <t>Non-reciprocation of the article 458 Swedish measure (a credit insitution-specific floor of 25 per cent for the exposure-weighted average of the risk weights applied to the portfolio of retail exposures to obligors residing in Sweden secured by immovable property, to credit institutions authorised in Sweden and using the IRB Approach for calculating regulatory capital requirements.)</t>
  </si>
  <si>
    <t>NL.RECI.142</t>
  </si>
  <si>
    <t>Reciprocation of the Belgian measure of 5 percentage point add-on to the risk weights of IRB banks taken under Art. 458 CRR.</t>
  </si>
  <si>
    <t>€50 million</t>
  </si>
  <si>
    <t>De minimis threshold or exemption if not utilising IRB Approach</t>
  </si>
  <si>
    <t>NL.NECI.1258</t>
  </si>
  <si>
    <t>De Nederlandsche Bank decided to not reciprocate the French measure that consists of a tightening of the large exposure limit provided for in Article 395(1) of CRR, applicable to exposures to highly-indebted large non-financial corporations.</t>
  </si>
  <si>
    <t>NL.RECI.1253</t>
  </si>
  <si>
    <t>De Nederlandsche Bank (DNB) reciprocated the Belgian systemic risk buffer measure which imposes a 9% systemic risk buffer rate on IRB retail exposures.</t>
  </si>
  <si>
    <t>https://www.dnb.nl/nieuws-voor-de-sector/toezicht-2023/reciprocering-van-de-belgische-systeemrisicobuffer/</t>
  </si>
  <si>
    <t>NL.NECI.945</t>
  </si>
  <si>
    <t>De Nederlandsche Bank made a decision of non-reciprocation of Norway Article 458 for Residential Real Estate Exposure. DNB has decided to not reciprocate the measures activated by Norway, as none of the relevant institutions meet the materiality threshold. DNB will monitor the materiality of exposures of Dutch banks and will periodically evaluate the decision to not reciprocate.</t>
  </si>
  <si>
    <t>NL.RECI.619</t>
  </si>
  <si>
    <t>Reciprocation of the Belgian measure of 5 percentage point add-on to the risk weights of IRB credit institutions and a proportionate risk-weight add-on consisting of 33 per cent of the exposure-weighted average of the risk-weights applied to the portfolio of retail exposures secured by residential immovable property located in Belgium.</t>
  </si>
  <si>
    <t>€2 billion</t>
  </si>
  <si>
    <t>http://www.toezicht.dnb.nl/7/50-237416.jsp</t>
  </si>
  <si>
    <t>NO.RECI.664</t>
  </si>
  <si>
    <t>Norges Bank</t>
  </si>
  <si>
    <t>No de minimis exemption, all Norwegian IRB banks should follow the requirement.</t>
  </si>
  <si>
    <t>https://www.finanstilsynet.no/nyhetsarkiv/nyheter/2019/anerkjennelse-av-makrotilsynstiltak-i-belgia-frankrike-og-sverige/</t>
  </si>
  <si>
    <t>NO.RECI.1343</t>
  </si>
  <si>
    <t>The Financial Supervisory Authority of Norway presents a voluntary reciprocication over a 2% systemic risk buffer rate introduced in the Republic of Lithuania: A 2 % systemic risk buffer rate for all retail exposures to natural persons resident in the Republic of Lithuania that are secured by residential property.</t>
  </si>
  <si>
    <t>Exemption for Credit institutions with exposures UNDER the materiality threshold of EUR 50 million.</t>
  </si>
  <si>
    <t>Art. 134 (2), Art. 458 (6)</t>
  </si>
  <si>
    <t>https://www.finanstilsynet.no/nyhetsarkiv/nyheter/2023/anerkjennelse-av-makrotilsynstiltak/</t>
  </si>
  <si>
    <t>NO.NECI.1526</t>
  </si>
  <si>
    <t>Finanstilsynet decided not to reciprocate the Belgian sectoral SyRB due to immateriality of exposures of Norwegian IRB-banks.</t>
  </si>
  <si>
    <t>https://www.finanstilsynet.no/nyhetsarkiv/nyheter/2024/beslutning-om-makrotilsynstiltak-i-belgia/</t>
  </si>
  <si>
    <t>NO.RECI.1351</t>
  </si>
  <si>
    <t>Norway presents a voluntary reciprocication over a minimum average risk weight introduced in the Netherlands: A minimum average risk weight applied by credit institutions using the IRB approach in relation to  their portfolios of exposures to natural persons secured by residential property located in the  Netherlands.</t>
  </si>
  <si>
    <t>No</t>
  </si>
  <si>
    <t>NO.NECI.1667</t>
  </si>
  <si>
    <t>The Finanstilsynet decided not to reciprocate Danish sectoral SyRB due to immateriality of exposures of Norwegian banks. The de minimis threshold is set at 200 million EUR, while relevant Norwegian exposures are well below this threshold (app.22 million EUR)</t>
  </si>
  <si>
    <t>200 million</t>
  </si>
  <si>
    <t>https://www.finanstilsynet.no/nyhetsarkiv/nyheter/2024/</t>
  </si>
  <si>
    <t>NO.RECI.1035</t>
  </si>
  <si>
    <t>Reciprocation of the Luxembourg LTV limits for new mortgage RRE loans</t>
  </si>
  <si>
    <t>NO.RECI.1340</t>
  </si>
  <si>
    <t>Norway presents a voluntary reciprocication for a systemic risk buffer put in place in Belgium: A 9 % systemic risk buffer rate for all IRB retail exposures to natural persons secured by residential immovable property for which the collateral is located in Belgium.</t>
  </si>
  <si>
    <t>Art. 134(2) and Art. 458(6)</t>
  </si>
  <si>
    <t>NO.NECI.1658</t>
  </si>
  <si>
    <t>The decision for non-reciprocation is due to immateriality of  exposures of Norwegian banks. The de minimis threshold is set at 25 billion EUR, while relevant Norwegian exposures are well below this threshold (app. 0,6 billion EUR).</t>
  </si>
  <si>
    <t>https://www.finanstilsynet.no/nyhetsarkiv/nyheter/2024/beslutningom-makrotilsynstiltak-i-danmark-og-italia/</t>
  </si>
  <si>
    <t>NO.NECI.1591</t>
  </si>
  <si>
    <t>Finanstilynet decided not to reciprocate the Portuguese sectoral systemic risk buffer of 4% on all IRB retail exposures to natural persons secured by residential immovable property for which the collateral is located in Portugal.</t>
  </si>
  <si>
    <t>https://www.finanstilsynet.no/nyhetsarkiv/nyheter/2024/beslutning-om-makrotilsynstiltak-i-portugal/</t>
  </si>
  <si>
    <t>NO.RECI.488</t>
  </si>
  <si>
    <t>NO.RECI.663</t>
  </si>
  <si>
    <t>EUR 1 billion (following  ESRB/2018/8)</t>
  </si>
  <si>
    <t>NO.RECI.662</t>
  </si>
  <si>
    <t>NO.RECI.1342</t>
  </si>
  <si>
    <t>Norway presents a voluntary reciprocication over a 2 % systemic risk buffer rate introduced in Germany: The SRB will apply for (i) all IRB exposures secured by residential immovable property located in Germany, and (ii) all SA-based exposures fully and completely secured by residential immovable property, as referred to in Article 125(2) of Regulation (EU) No 575/2013, which is located in Germany.</t>
  </si>
  <si>
    <t>No for all Norwegian credit institutions except for SA-banks</t>
  </si>
  <si>
    <t>Their current requirement is stricter than the German requirement.</t>
  </si>
  <si>
    <t>NO.NECI.1491</t>
  </si>
  <si>
    <t>Norway decided not to reciprocate the Swedish measure.</t>
  </si>
  <si>
    <t>https://www.finanstilsynet.no/nyhetsarkiv/nyheter/2023/beslutning-om-makrotilsynstiltak/</t>
  </si>
  <si>
    <t>PL.NECI.1563</t>
  </si>
  <si>
    <t>KSF decided not to reciprocate the 4 % sectoral systemic risk buffer rate on all IRB retail exposures to natural persons secured by residential immovable property for which the collateral is located in Portugal. The total exposure of Polish banks towards Portugal amounted to PLN 534 millions (EUR 124 millions) as of 30 March 2024. Therefore no bank exceeds the materiality threshold of EUR 1 billion.</t>
  </si>
  <si>
    <t>https://nbp.pl/en/press-release-of-the-financial-stability-committee-after-its-meeting-on-macroprudential-supervision-2/</t>
  </si>
  <si>
    <t>PL.NECI.603</t>
  </si>
  <si>
    <t>Non-reciprocation of the Belgian measure of 5 percentage point add-on to the risk weights of IRB credit institutions and of a proportionnate risk-weight add-on consisting of 33 per cent of the exposure-weighted average of the risk-weights applied to the portfolio of retail exposures secured by residential immovable property located in Belgium.
Reconfirmed on 22/09/2020.</t>
  </si>
  <si>
    <t>PL.NECI.1507</t>
  </si>
  <si>
    <t>Komitet Stabilności Finansowej decided not to reciprocate the Belgian 6% Sectoral Systemic Risk Buffer on all IRB retail exposures to natural persons secured by residential immovable property for which the collateral is located in Belgium, as the total exposures of the Polish banking sector towards Belgium are below the materiality threshold requirement (EUR 2 billion).</t>
  </si>
  <si>
    <t>Art 134 (2) CRD</t>
  </si>
  <si>
    <t>https://nbp.pl/en/press-release-of-the-financial-stability-committee-after-the-meeting-on-macroprudential-supervision/</t>
  </si>
  <si>
    <t>PL.NECI.1609</t>
  </si>
  <si>
    <t>KSF decided not to reciprocate the macroprudential measure. The total exposure of Polish banks towards Italy amounted to PLN 1.7 billion (EUR 0.4 billion) as of 30 June 2024. Therefore no bank exceeds the materiality threshold of EUR 25 billion.</t>
  </si>
  <si>
    <t>https://nbp.pl/komunikat-komitetu-stabilnosci-finansowej-po-posiedzeniu-dotyczacym-nadzoru-makroostroznosciowego-nad-systemem-finansowym-12/</t>
  </si>
  <si>
    <t>PL.NECI.464</t>
  </si>
  <si>
    <t>Non-reciprocation of the Finnish measure consists of a credit institution-specific minimum level of 15% for the average risk-weight on loans secured by a mortgage on housing units in Finland applicable to credit institutions using the internal ratings based (IRB) approach, under Article 458. Reconfirmed on 30/06/2020.</t>
  </si>
  <si>
    <t>PL.NECI.1409</t>
  </si>
  <si>
    <t>Poland decided to not reciprocate the following Swedish measure: A credit institution-specific minimum level (floor) of 35 % for the exposure-weighted average of the risk weights applied to the portfolio of corporate exposures secured by mortgages on immovable commercial properties and a credit institution-specific minimum level (floor) of 25 % for the exposure-weighted average of the risk weights applied to the portfolio of corporate exposures secured by mortgages on immovable residential properties applied to credit institutions authorised in Sweden using the IRB approach for calculating regulatory capital requirements.</t>
  </si>
  <si>
    <t>PL.NECI.673</t>
  </si>
  <si>
    <t>Non-reciprocation of the French measure consisting of a tightening of large exposure limits applicable to highly indebted large non-financial corporations that are resident in France taken under Article 458 CRR.  Reconfirmed on 30/06/2020.</t>
  </si>
  <si>
    <t>PL.NECI.1624</t>
  </si>
  <si>
    <t>Komitet Stabilności Finansowej decided to not reciprocate a 6 % systemic risk buffer on all IRB retail exposures secured by residential immovable property for which the collateral is located in Belgium.
No Polish credit institution (taking into account the indicated consolidation levels) has exposures in Belgium exceeding the materiality threshold of EUR 2 billion.</t>
  </si>
  <si>
    <t>https://nbp.pl/en/press-release-of-the-financial-stability-committee-after-its-meeting-on-macroprudential-supervision-4/</t>
  </si>
  <si>
    <t>PL.NECI.1080</t>
  </si>
  <si>
    <t>KSF decided to not reciprocate macroprudential policy measure of France on a tightening of the large exposure limit</t>
  </si>
  <si>
    <t>PL.NECI.1673</t>
  </si>
  <si>
    <t>KSF decided not to reciprocate the 6% Belgian systemic risk buffer on all IRB retail exposures secured by residential immovable</t>
  </si>
  <si>
    <t>2 billion</t>
  </si>
  <si>
    <t>PL.NECI.1608</t>
  </si>
  <si>
    <t>KSF decided not to reciprocate the macroprudential measure. The total exposure of Polish banks towards Denmark amounted to PLN 775 millions (EUR 180 millions) as of 30 June 2024. Therefore no bank exceeds the materiality threshold of EUR 200 million.</t>
  </si>
  <si>
    <t>PL.NECI.281</t>
  </si>
  <si>
    <t>PL.NECI.1026</t>
  </si>
  <si>
    <t>Komitet Stabilności Finansowej  has decided to non-reciprocate the Luxembourg measure on LTV limits for new mortgage loans on residential real estate located in Luxembourg.</t>
  </si>
  <si>
    <t>PL.NECI.290</t>
  </si>
  <si>
    <t>Non-reciprocation of 1-percent systemic risk buffer rate applied to the domestic exposures of all credit institutions in Estonia.
As part of a cyclical monitorning, the Financial Stability Committee confirmed the decision on 11 June 2018.</t>
  </si>
  <si>
    <t>PL.NECI.1117</t>
  </si>
  <si>
    <t>Komitet Stabilności Finansowej (Financial Stability Committee) decided not to reciprocate Lithuania's measure on a 2% systemic risk buffer rate for all retail exposures to natural persons in Lithuania that are secured by residential property.</t>
  </si>
  <si>
    <t>PL.NECI.1133</t>
  </si>
  <si>
    <t>Komitet Stabilności Finansowej (Financial Stability Committee) decided not to reciprocate Norwegian macroprudential policy measures: (i) a 4,5 % systemic risk buffer rate, (ii) a 20 % average risk weight floor for residential real estate exposures in Norway and (iii) a 35 % average risk weight floor for commercial real estate exposures in Norway, due to insignificant exposures of Polish banks located in Norway.</t>
  </si>
  <si>
    <t>PL.NECI.1118</t>
  </si>
  <si>
    <t>Komitet Stabilności Finansowej (Financial Stability Committee) decided not to reciprocate The Netherlands measure on a minimum average risk weight applied by credit institutions using the IRB approach in relation to their portfolios of exposures to natural persons secured by residential property.</t>
  </si>
  <si>
    <t>PL.NECI.674</t>
  </si>
  <si>
    <t>Non-reciprocation of the Swedish article 458  measure (a credit insitution-specific floor of 25 per cent for the exposure-weighted average of the risk weights applied to the portfolio of retail exposures to obligors residing in Sweden secured by immovable property, to credit institutions authorised in Sweden and using the IRB Approach for calculating regulatory capital requirements.) Reconfirmed on 30/06/2020.</t>
  </si>
  <si>
    <t>PL.NECI.1178</t>
  </si>
  <si>
    <t>Poland decided to not reciprocate the measure of Germany, which was a 2 % systemic risk buffer rate on (i) all IRB exposures secured by residential immovable property located in Germany, and (ii) all SA-based exposures fully and completely secured by residential immovable property located in Germany. The reason to not reciprocate is because Polish credit institutions are not significantly exposed</t>
  </si>
  <si>
    <t>https://www.nbp.pl/nadzormakroostroznosciowy/komunikaty/2022-09-23.aspx</t>
  </si>
  <si>
    <t>PL.NECI.1142</t>
  </si>
  <si>
    <t>Komitet Stabilności Finansowej (KSF, Financial Stability Committee) decided to not reciprocate Belgian SyRB due to insignificant credit exposures of Polish banks in Belgium.</t>
  </si>
  <si>
    <t>https://www.nbp.pl/macroprudentialsupervision/komunikaty/2022-06-10.aspx</t>
  </si>
  <si>
    <t>PT.RECI.682</t>
  </si>
  <si>
    <t>www.bportugal.pt</t>
  </si>
  <si>
    <t>PT.NECI.1183</t>
  </si>
  <si>
    <t>Banco de Portugal has not reciprocated the Dutch minimum average risk weight applicable to exposures to natural persons secured by mortgages on residential property located in the Netherlands of credit institutions using the IRB approach.</t>
  </si>
  <si>
    <t>PT.NECI.1146</t>
  </si>
  <si>
    <t>Banco de Portugal has decided to not reciprocate the Belgian SyRB due to exposures of Portugese banks in Belgium below the materiality threshold of 2 billion euros .</t>
  </si>
  <si>
    <t>PT.RECI.295</t>
  </si>
  <si>
    <t>PT.RECI.1004</t>
  </si>
  <si>
    <t>Banco de Portugal made a decision of reciprocate Norway SyRB 4.5%.</t>
  </si>
  <si>
    <t>PT.NECI.1147</t>
  </si>
  <si>
    <t>Banco de Portugal has decided to no reciprocate the Lithuanian SyRB given that exposure of all the Portuguese banks to the relevant sector was 1.6M€, significantly below the materiality threshold of 50M€.</t>
  </si>
  <si>
    <t>PT.RECI.1012</t>
  </si>
  <si>
    <t>Banco de Portugal made a decision of reciprocating Luxembourg LTV measure.</t>
  </si>
  <si>
    <t>PT.RECI.580</t>
  </si>
  <si>
    <t>https://www.bportugal.pt/sites/default/files/decision_4_nbb.pdf</t>
  </si>
  <si>
    <t>PT.NECI.1693</t>
  </si>
  <si>
    <t>Banco de Portugal has decided not to reciprocate the Italian sectoral systemic risk buffer (with a rate of 0.5% as of 31 December 2024, rising to 1% as of 30 June 2025) to all credit risk exposures or counterparty credit risk exposures located in Italy, given its non-materiality for the Portuguese credit institutions.</t>
  </si>
  <si>
    <t>PT.RECI.264</t>
  </si>
  <si>
    <t>Reciproaction of extension Belgian measure under art. 458 CRR regarding mortgage lending.</t>
  </si>
  <si>
    <t>PT.NECI.1694</t>
  </si>
  <si>
    <t>Banco de Portugal has decided not to reciprocate the Danish measure regarding  a 7% systemic risk buffer rate to exposures to non-financial corporations operating in real estate activities and in the development of building projects, given its non-materiality for the Portuguese credit institutions.</t>
  </si>
  <si>
    <t>PT.NECI.1473</t>
  </si>
  <si>
    <t>Banco de Portugal decided not to reciprocate the Swedish measure regarding  risk weight floors for commercial exposures of IRB banks secured by commercial and residential properties.</t>
  </si>
  <si>
    <t>PT.RECI.471</t>
  </si>
  <si>
    <t>PT.NECI.653</t>
  </si>
  <si>
    <t>PT.NECI.1201</t>
  </si>
  <si>
    <t>Banco de Portugal decided to not reciprocate the German systemic risk buffer on (i) all IRB exposures secured by residential immovable property located in Germany, and (ii) all SA-based exposures fully and completely secured by residential immovable property. The reason for non-reciprocation is that the reported combined total exposure of all the Portuguese banks is significantly below the materiality threshold of 10Bn€ defined by the German authority.</t>
  </si>
  <si>
    <t>RO.NECI.1095</t>
  </si>
  <si>
    <t>The National Committee for Macroprudential Oversight (NCMO) has decided not to reciprocate the measure of the Netherlands consisting of a minimum risk weight for exposures to natural persons secured by mortgages on residential property for all credit institutions which use the IRB approach when calculating the regulatory capital requirements.</t>
  </si>
  <si>
    <t>RO.NECI.1621</t>
  </si>
  <si>
    <t>Non- reciprocation of Italy’s macroprudential measure consisting in a new sectoral systemic risk buffer (sSyRB) for all credit and counterparty credit risk exposures in Italy, with a rate of 0.5% as of 31 December 2024, rising to 1% as of 30 June 2025. The measure is applicable to all Italian banks and banking groups, at the highest level of consolidation.</t>
  </si>
  <si>
    <t>RO.NECI.510</t>
  </si>
  <si>
    <t>RO.NECI.1240</t>
  </si>
  <si>
    <t>Non-reciprocation of Germany’s macroprudential measure consisting in the activation of a 2% SyRB applicable to credit institutions authorised in Germany using the IRB approach for the calculation of their risk weighted exposure amounts and (ii) to credit institutions authorised in Germany using the standardised approach for the calculation of their risk-weighted exposure amounts for exposures fully and completely secured by residential property.</t>
  </si>
  <si>
    <t>Public information on the NCMO’s website.</t>
  </si>
  <si>
    <t>RO.NECI.1543</t>
  </si>
  <si>
    <t>Non- reciprocation of Portugal’s macroprudential measure consisting in a 4 percent sectoral systemic risk buffer rate (sSyRB)  on retail exposures secured by residential immovable property for which the collateral is located in Portugal, for banks using the IRB Approach. This decision was adopted due to the fact that the Romanian credit institutions have non-material exposures to debtors residing in Portugal.</t>
  </si>
  <si>
    <t>https://www.cnsmro.ro/en/politica-macroprudentiala/alte-masuri-macroprudentiale/reciprocitatea-masurilor-macroprudentiale/</t>
  </si>
  <si>
    <t>RO.NECI.937</t>
  </si>
  <si>
    <t>National Committee for Macroprudential Oversight made a decision of non-reciprocation of a 35% average risk weight floor for commercial real estate exposures in Norway, applied in accordance with Article 458(2)(d)(vi) of the CRR as applicable to and in 
Norway on 1 January 2020. This decision was adopted because the Romanian credit institutions have non-material exposures to debtors residing in Norway. Total exposures are much below the three materiality thresholds set for the reciprocation of the measures (NOK 7.6 billion) and the majority of exposures come from credits to financial institutions, not to the real sector. Moreover, the credit institutions, Romanian legal persons, do not have branches in Norway.</t>
  </si>
  <si>
    <t>RO.NECI.1141</t>
  </si>
  <si>
    <t>The National Committee for Macroprudential Oversight (NCMO) has decided to not reciprocate the Belgian SyRB  given the insignificant eligible exposures of the Romanian banking sector to Belgium.</t>
  </si>
  <si>
    <t>RO.NECI.382</t>
  </si>
  <si>
    <t>Non-reciprocation of the Belgian measure of 5 percentage point add-on to the risk weights of IRB credit institutions.</t>
  </si>
  <si>
    <t>RO.NECI.1620</t>
  </si>
  <si>
    <t>Non- reciprocation of Denmark’s macroprudential measure consisting in a new sectoral systemic risk buffer (sSyRB) a 7 % sectoral systemic risk buffer rate on all types of exposures located in Denmark to non-financial corporations operating in real estate activities and in the development of building projects</t>
  </si>
  <si>
    <t>RO.NECI.578</t>
  </si>
  <si>
    <t>Non-reciprocation of the Belgian measure of 5 percentage point add-on to the risk weights of IRB credit institutions and a proportionate risk-weight add-on consisting of 33 per cent of the exposure-weighted average of the risk-weights applied to the portfolio of retail exposures secured by residential immovable property located in Belgium.</t>
  </si>
  <si>
    <t>RO.NECI.384</t>
  </si>
  <si>
    <t>RO.NECI.935</t>
  </si>
  <si>
    <t>National Committee for Macroprudential Oversight, Romania made a decision of non-reciprocation of 4.5% systemic risk buffer rate for exposures in Norway. This decision was adopted because the Romanian credit institutions have non-material exposures to debtors residing in Norway. Total exposures are much below the three materiality thresholds set for the reciprocation of the measures (NOK 32 billion).Moreover, the credit institutions, Romanian legal persons, do not have branches in Norway. The NCMO will periodically monitor these exposures and will adopt the necessary measures if these exposures become significant.</t>
  </si>
  <si>
    <t>Article 133 of Directive 2013/36/EU</t>
  </si>
  <si>
    <t>RO.NECI.1451</t>
  </si>
  <si>
    <t>The National Committee for Macroprudential Oversight (NCMO) not to reciprocate the Swedish measure regarding risk weight floors for commercial exposures of IRB banks secured by commercial (35%) and residential (25%) properties.</t>
  </si>
  <si>
    <t>RO.NECI.1326</t>
  </si>
  <si>
    <t>The National Committee for Macroprudential Oversight (NCMO) has decided not to reciprocate Norway’s measures consisting of a 20 % floor for (exposure-weighted) average risk weights for exposures to residential real estate located in Norway. This decision was adopted due to the fact that the Romanian credit institutions have non-material exposures to debtors residing in Norway.</t>
  </si>
  <si>
    <t>RO.NECI.680</t>
  </si>
  <si>
    <t>RO.NECI.936</t>
  </si>
  <si>
    <t>National Committee for Macroprudential Oversight made a decision of non-reciprocation of a 20% average risk weight floor for residential real estate exposures in Norway, applied in accordance with Article 458(2)(d)(vi) of Regulation (EU) No 575/2013. The non-reciprocation decision was adopted because the Romanian credit institutions have non-material exposures to debtors residing in Norway. Total exposures are much below the three materiality thresholds set for the reciprocation of the measures (NOK 32.3 billion ) and the majority of exposures come from credits to financial institutions, not to the real sector. Moreover, the credit institutions, Romanian legal persons, do not have branches in Norway. The NCMO will periodically monitor these exposures and will adopt the necessary measures if these exposures become significant.</t>
  </si>
  <si>
    <t>RO.NECI.1327</t>
  </si>
  <si>
    <t>The National Committee for Macroprudential Oversight (NCMO) has decided not to reciprocate Norway’s measures consisting of a 35 % floor for (exposure-weighted) risk weights for exposures to commercial real estate located in Norway. This decision was adopted due to the fact that the Romanian credit institutions have non-material exposures to debtors residing in Norway.</t>
  </si>
  <si>
    <t>RO.NECI.934</t>
  </si>
  <si>
    <t>National Committee for Macroprudential Oversight made a decision of non-reciprocation of the Luxembourg LTV. This decision was adopted because the Romanian credit institutions have non-material exposures to debtors residing in Luxembourg. It is also to be noted that a LTV limit is already active in Romania. The NCMO will periodically monitor this type of exposures and will adopt the necessary measures if these exposures become significant.</t>
  </si>
  <si>
    <t>RO.NECI.1320</t>
  </si>
  <si>
    <t>The National Committee for Macroprudential Oversight (NCMO) has decided not to reciprocate Norway’s measures consisting of a 4,5 % systemic risk buffer rate for exposures located in Norway. This decision was adopted due to the fact that the Romanian credit institutions have non-material exposures to debtors residing in Norway.</t>
  </si>
  <si>
    <t>RO.NECI.681</t>
  </si>
  <si>
    <t>RO.NECI.1097</t>
  </si>
  <si>
    <t>National Committee for Macroprudential Oversight decided not to reciprocate Lithuania’s macroprudential measure consisting in the implementation of a 2 per cent systemic risk buffer (SyRB) applied to all retail exposures to natural persons secured by residential property.</t>
  </si>
  <si>
    <t>RO.NECI.1490</t>
  </si>
  <si>
    <t>The National Committee for Macroprudential Oversight (NCMO) has decided not to reciprocate the Belgian measure given the insignificant eligible exposures of the Romanian banking sector to Belgium.</t>
  </si>
  <si>
    <t>SK.NECI.459</t>
  </si>
  <si>
    <t>SK.NECI.280</t>
  </si>
  <si>
    <t>SK.NECI.629</t>
  </si>
  <si>
    <t>Non-reciprocation of the  Swedish measure (a credit insitution-specific floor of 25 per cent for the exposure-weighted average of the risk weights applied to the portfolio of retail exposures to obligors residing in Sweden secured by immovable property, to credit institutions authorised in Sweden and using the IRB Approach for calculating regulatory capital requirements.)</t>
  </si>
  <si>
    <t>SK.NECI.671</t>
  </si>
  <si>
    <t>Table 7 in the April 2019 Quarterly Commentary on Macroprudential Macroprudential Policy
https://www.nbs.sk/_img/Documents/_Dohlad/Makropolitika/WEB_Stvrtrocny_komentar_2019_april-TRA-EN.pdf</t>
  </si>
  <si>
    <t>SK.NECI.599</t>
  </si>
  <si>
    <t>SK.RECI.282</t>
  </si>
  <si>
    <t>Reciprocation of 1-percent SRB rate applied to the domestic exposures of all credit institutions authorised in Estonia (1-percent SRB rate applied to all exposures based in Estonia for all credit institutions based in Slovakia with no materiality threshold).</t>
  </si>
  <si>
    <t>SI.NECI.1533</t>
  </si>
  <si>
    <t>Banka Slovenije decided not to reciprocate the Danish sSyRB.</t>
  </si>
  <si>
    <t>Art. 134 CRD</t>
  </si>
  <si>
    <t>616</t>
  </si>
  <si>
    <t>SI.NECI.955</t>
  </si>
  <si>
    <t>Bank of Slovenia made a decision of non-reciprocation of a 4.5% systemic risk buffer rate for exposures in Norway, applied in accordance with Article 133 of Directive 2013/36/EU. The non-reciprocation decision is based on the "de minimis" principle. Total exposures toward Norway, as of the end of Feb 2021, are about EUR 74 million; that is about NOK 755 million. Consequently, we are very far form breaching the three materiality thresholds (for the three Norwegian measures), which are: a) for the SRB: risk weighted exposure to Norway of NOK 32 billion. Therefore, reciprocation is deemed non-necessary.</t>
  </si>
  <si>
    <t>Applied, based on the specified materiality threshold</t>
  </si>
  <si>
    <t>SI.NECI.1110</t>
  </si>
  <si>
    <t>Banka Slovenije decided not to reciprocate the Dutch measure introducing a minimum average risk weight to credit institutions using the IRB approach for calculating regulatory capital requirements in relation to their portfolios of exposures to natural persons secured by residential property located in the Netherlands.</t>
  </si>
  <si>
    <t>SI.NECI.633</t>
  </si>
  <si>
    <t>SI.NECI.618</t>
  </si>
  <si>
    <t>Non-reciprocation by Slovenia of the French measure consisting of a tightening of large exposure limits applicable to highly indebted large non-financial corporations that are resident in France taken under Article 458 CRR.</t>
  </si>
  <si>
    <t>SI.NECI.932</t>
  </si>
  <si>
    <t>Bank of Slovenia made a decision of non-reciprocation of the Luxembourg LTV. The non-reciprocation decision is based on the "de minimis" principle. Based on data on foreign exposures, since January 2021 there are no new mortgage loans on residential real estate located in Luxembourg provided by Slovenian banks. Therefore, reciprocation is deemed non-necessary.</t>
  </si>
  <si>
    <t>SI.NECI.1108</t>
  </si>
  <si>
    <t>Bank of Slovenia decided not to reciprocate the 9% sectoral systemic risk buffer rate, introduced by the Belgian authority, on all IRB retail exposures to natural persons secured by residential immovable property for which the collateral is located in Belgium.</t>
  </si>
  <si>
    <t>SI.NECI.1519</t>
  </si>
  <si>
    <t>Banka Slovenije has decided not to reciprocate the 6% Belgian sectoral SyRB that is applied on all IRB retail exposures to natural persons secured by residential immovable property for which the collateral is located in Belgium.</t>
  </si>
  <si>
    <t>SI.NECI.631</t>
  </si>
  <si>
    <t>SI.NECI.957</t>
  </si>
  <si>
    <t>Bank of Slovenia made a decision of non-reciprocation of a 35% average risk weight floor for commercial real estate exposures in Norway, applied in accordance with Article 458(2)(d)(vi) of the CRR to credit institutions authorised in Norway, using the IRB approach for calculating regulatory capital requirements. The non-reciprocation decision is based on the "de minimis" principle. Total exposures toward Norway, as of the end of Feb 2021, are about EUR 74 million; that is about NOK 755 million. Consequently, we are very far form breaching the three materiality thresholds (for the three Norwegian measures), which are: c) for the commercial real estate risk weight floor: CRE exposures to Norway by IRB banks of NOK 7.6 billion. Therefore, reciprocation is deemed non-necessary.</t>
  </si>
  <si>
    <t>SI.NECI.1518</t>
  </si>
  <si>
    <t>Banka Slovenije decided not to reciprocate the Portuguese 4% sectoral SyRB that is applied on all IRB retail exposures to natural persons secured by residential immovable property for which the collateral is located in Portugal.</t>
  </si>
  <si>
    <t>SI.NECI.1573</t>
  </si>
  <si>
    <t>Banka Slovenije decided not to reciprocate the Danish sectoral SyRB of 7% on all types of exposures located in Denmark to non-financial corporations operating in real estate activities and in the development of building projects identified in accordance with the statistical classification of economic activities in the Union, set out in Regulation (EC) No 1893/2006.</t>
  </si>
  <si>
    <t>SI.NECI.475</t>
  </si>
  <si>
    <t>SI.NECI.1109</t>
  </si>
  <si>
    <t>Banka Slovenije decided not to reciprocate the 2% sectoral systemic risk buffer rate, introduced in Lithuania pursuant to Article 133 CRD, on all retail exposures to natural persons that are secured by residential property.</t>
  </si>
  <si>
    <t>SI.NECI.480</t>
  </si>
  <si>
    <t>SI.NECI.572</t>
  </si>
  <si>
    <t>SI.NECI.1494</t>
  </si>
  <si>
    <t>Bank of Slovenia made a decision of non-reciprocation of the Swedish measure on risk weight floors of 25% for residential properties.</t>
  </si>
  <si>
    <t>SI.NECI.956</t>
  </si>
  <si>
    <t>Bank of Slovenia made a decision of non-reciprocation of a 20% average risk weight floor for residential real estate exposures in Norway, applied in accordance with Article 458(2)(d)(vi) of Regulation (EU) No 575/2013. The non-reciprocation decision is based on the "de minimis" principle. Total exposures toward Norway, as of the end of Feb 2021, are about EUR 74 million; that is about NOK 755 million. Consequently, we are very far form breaching the three materiality thresholds (for the three Norwegian measures), which are:b) for the residential real estate risk weight floor: RRE exposures to Norway by IRB banks  of NOK 32.3 billion. Therefore, reciprocation is deemed non-necessary.</t>
  </si>
  <si>
    <t>SI.NECI.1005</t>
  </si>
  <si>
    <t>Bank of Slovenia made a decision of non-reciprocate French Article 458 for NFC large exposure. Bank of Slovenia decided to non-reciprocate since based on data on foreign exposures, as of May 2021, none of the Slovenian SIIs breaches the materiality threshold</t>
  </si>
  <si>
    <t>SI.NECI.1151</t>
  </si>
  <si>
    <t>Bank of Slovenia has decided to not reciprocate the German sectoral SyRB based on the "de minimis" principle.</t>
  </si>
  <si>
    <t>ES.NECI.1213</t>
  </si>
  <si>
    <t>Non-reciprocation of the Lithuanian measure under article 133 CRD of a systemic risk buffer rate of 2% on all retail exposures to natural persons that are secured by residential property.</t>
  </si>
  <si>
    <t>https://www.bde.es/wbe/en/areas-actuacion/politica-macroprudencial/herramientas-macroprudenciales/reciprocidad-medidas-otros-paises/</t>
  </si>
  <si>
    <t>ES.NECI.1185</t>
  </si>
  <si>
    <t>Non-reciprocation of the German measure under article 133 CRD of a systemic risk buffer rate of 2% on (i) all IRB exposures secured by residential immovable property, and (ii) all SA exposures fully and completely secured by residential immovable property.</t>
  </si>
  <si>
    <t>ES.NECI.980</t>
  </si>
  <si>
    <t>Non-reciprocation of the Norwegian measure of Article 458 CRR for Commercial Real Estate (CRE) exposures.</t>
  </si>
  <si>
    <t>ES.NECI.978</t>
  </si>
  <si>
    <t>Non-reciprocation of the Norwegian measure under Article 133 CRD of a Systemic Risk Buffer (SyRB).</t>
  </si>
  <si>
    <t>ES.NECI.1152</t>
  </si>
  <si>
    <t>Non-reciprocation of the Belgian measure under article 133 CRD of a systemic risk buffer rate of 9% on all IRB retail exposures to natural persons secured by residential immovable property.</t>
  </si>
  <si>
    <t>ES.NECI.979</t>
  </si>
  <si>
    <t>Non-reciprocation of the Norwegian measure of Article 458 CRR for Residential Real Estate (RRE) exposures.</t>
  </si>
  <si>
    <t>ES.NECI.1112</t>
  </si>
  <si>
    <t>Non-reciprocation of the Dutch measure under article 458 CRR of a minimum average risk weight applied by credit institutions using the IRB approach in relation to their portfolios of exposures to natural persons secured by residential property</t>
  </si>
  <si>
    <t>ES.NECI.977</t>
  </si>
  <si>
    <t>Non-reciprocation of the Luxembourgish measure of loan to value (LTV) limits.</t>
  </si>
  <si>
    <t>ES.NECI.1335</t>
  </si>
  <si>
    <t>Non-reciprocation of the Norwegian measure under article 133 CRD of a systemic risk buffer rate of 4,5% on domestic exposures for IRB banks and 3% for non-IRB banks.</t>
  </si>
  <si>
    <t>ES.NECI.641</t>
  </si>
  <si>
    <t>ES.NECI.1346</t>
  </si>
  <si>
    <t>Non-reciprocation of the Norwegian measure under article 458 CRR of a minimum average risk weight applied by credit institutions using the IRB approach in relation to exposures secured by commercial real estate.</t>
  </si>
  <si>
    <t>ES.NECI.1347</t>
  </si>
  <si>
    <t>Non-reciprocation of the Norwegian measure under article 458 CRR of a minimum average risk weight applied by credit institutions using the IRB approach in relation to exposures secured by residential real estate.</t>
  </si>
  <si>
    <t>ES.NECI.1036</t>
  </si>
  <si>
    <t>ES.NECI.1467</t>
  </si>
  <si>
    <t>Non-reciprocation of the Swedish measure under article 458 CRR regarding the minimum average risk weight applied by credit institutions using the IRB approach in relation to exposures secured by commercial (35%) and residential (25%) real estate.</t>
  </si>
  <si>
    <t>ES.NECI.640</t>
  </si>
  <si>
    <t>ES.NECI.1508</t>
  </si>
  <si>
    <t>Non-reciprocation of the Belgian measure under article 133 CRD regarding a systemic risk buffer rate on IRB retail exposures to natural persons secured by residential immovable property for which the collateral is located in Belgium.</t>
  </si>
  <si>
    <t>ES.NECI.538</t>
  </si>
  <si>
    <t>ES.NECI.642</t>
  </si>
  <si>
    <t>ES.RECI.1581</t>
  </si>
  <si>
    <t>Reciprocation of the Portuguese measure under article 133 CRD regarding a systemic risk buffer rate on IRB retail exposures to natural persons secured by residential immovable property for which the collateral is located in Portugal.</t>
  </si>
  <si>
    <t>ES.NECI.469</t>
  </si>
  <si>
    <t>ES.RECI.1618</t>
  </si>
  <si>
    <t>Reciprocation of the Italian measure, under Article 133 of Directive 2013/36/EU, of a systemic risk buffer rate to all credit risk exposures and counterparty credit risk exposures in Italy (0,5 %, applicable from 31 December 2024 to 29 June 2025, increasing to 1 % from 30 June 2025).</t>
  </si>
  <si>
    <t>ES.NECI.278</t>
  </si>
  <si>
    <t>ES.NECI.1574</t>
  </si>
  <si>
    <t>Non-reciprocation of the Danish measure under article 133 CRD regarding a sectoral systemic risk buffer rate on all types of exposures located in Denmark to non-financial corporations operating in real estate activities and in the development of building projects.</t>
  </si>
  <si>
    <t>ES.NECI.1612</t>
  </si>
  <si>
    <t>Non-reciprocation of the Danish measure, under Article 133 of Directive 2013/36/EU, of a 7 % sectoral systemic risk buffer rate on all types of exposures located in Denmark to non-financial corporations operating in real estate activities and in the development of building projects.</t>
  </si>
  <si>
    <t>ES.NECI.294</t>
  </si>
  <si>
    <t>SE.NECI.333</t>
  </si>
  <si>
    <t>Non-reciprocation of 5-percentage-point risk-weightadd-on applied under Article 458(2)(d)(vi) of Regulation (EU) No 575/2013 to Belgian mortgage loan exposures of credit institutions using the internal-ratings based approach.</t>
  </si>
  <si>
    <t>http://www.fi.se/en/published/news/2017/decision-regarding-reciprocation-of-macroprudential-measures-in-two-eu-countries/</t>
  </si>
  <si>
    <t>SE.RECI.970</t>
  </si>
  <si>
    <t>Finansinspektionen made a decision of reciprocating a risk weight floor of 35 % for Norwegian commercial real estate exposures. The floor will apply for Swedish credit institutions that have branches or other exposures in Norway and are authorised to use an internal ratings-based approach for the calculation of their capital requirement for credit risks.</t>
  </si>
  <si>
    <t>SE.RECI.179</t>
  </si>
  <si>
    <t>SE.RECI.334</t>
  </si>
  <si>
    <t>SE.RECI.450</t>
  </si>
  <si>
    <t>http://www.fi.se/en/published/news/2017/fi-recognises-the-risk-weight-floor-for-finnish-mortgage-exposures</t>
  </si>
  <si>
    <t>SE.NECI.1571</t>
  </si>
  <si>
    <t>Sweden has decided not to reciprocate the Italian systemic risk buffer of 7 percent applicable to all bank´s domestic exposures. The reason for non-reciprocation is that Swedish bank´s relevant exposures are well below the materiality threshold of 25 bn Euro.</t>
  </si>
  <si>
    <t>SE.NECI.1570</t>
  </si>
  <si>
    <t>Sweden has decided not to reciprocate the resetting of the German 2% sectoral SyRB applied on all institutions for all exposures of individuals and legal entities secured by residential real estate located in Germany.	The reason for non-reciprocation is that Swedish bank´s relevant sectoral exposures are below the materiality threshold of EUR 10 billion.</t>
  </si>
  <si>
    <t>SE.NECI.1569</t>
  </si>
  <si>
    <t>Sweden has decided to not reciprocate the Portuguese systemic risk buffer of 4 percent applicable to IRB retail exposures secured by residential immovable property for which the collateral is located in Portugal. The reason for non-reciprocation is that Swedish IRB bank’s relevant sectoral exposures are well below the threshold of EUR 1 billion. To be more precise the bank’s relevant exposures are less than one percent of EUR 1 billion.</t>
  </si>
  <si>
    <t>SE.NECI.689</t>
  </si>
  <si>
    <t>Non-reciprocation of the Belgian measure of 5 percentage point add-on to the risk weights of IRB credit institutions and of a proportionnate risk-weight add-on consisting of 33 per cent of the exposure-weighted average of the risk-weights applied to the portfolio of retail exposures secured by residential immovable property located in Belgium.</t>
  </si>
  <si>
    <t>SE.RECI.688</t>
  </si>
  <si>
    <t>Reciprocation of the French measure consisting of a tightening of large exposure limits applicable to highly indebted large non-financial corporations that are resident in France taken under Article 458 CRR. The measure applies to the three Swedish O-SIIs that have relevant exposures in France, namely SEB, SHB and Swedbank.</t>
  </si>
  <si>
    <t>combined materiality threshold indicated in ESRB/2018/8</t>
  </si>
  <si>
    <t>SE.RECI.1157</t>
  </si>
  <si>
    <t>Sweden reciprocated the measure of a 2% Systemic Risk Buffer rate on all retail exposures to natural persons in Lithuania, which are secured by residential property. The Systemic Risk Buffer rate will apply for Swedish credit institutions whose relevant exposures exceed EUR 50 million.The buffer will apply on group level.</t>
  </si>
  <si>
    <t>SE.RECI.1313</t>
  </si>
  <si>
    <t>Finansinspektionen decided to reciprocate the risk weight floor of 20 % for Norwegian residential real estate exposures.</t>
  </si>
  <si>
    <t>https://www.fi.se/en/published/news/2023/fi-reciprocates-the-extension-of-norwegian-risk-weight-floors/</t>
  </si>
  <si>
    <t>SE.RECI.1312</t>
  </si>
  <si>
    <t>Finansinskeptionen decided to reciprocate a risk weight floor of 35 % for Norwegian commercial real estate exposures.</t>
  </si>
  <si>
    <t>SE.RECI.1511</t>
  </si>
  <si>
    <t>Reciprocation of the Norwegian 4.5% systemic risk buffer.</t>
  </si>
  <si>
    <t>SE.NECI.1144</t>
  </si>
  <si>
    <t>Finansinspektionen has decided to not reciproate the Dutch Risk weight measure on residential real estate exposure in the Netherlands given that the  Swedish IRB bank’s relevant exposures are well below the threshold of  EUR 5 billion.</t>
  </si>
  <si>
    <t>SE.NECI.1682</t>
  </si>
  <si>
    <t>SE.NECI.1529</t>
  </si>
  <si>
    <t>Finansinspektionen made a decision of non-reciprocation of Luxembourg LTV, as Swedish financial institutions do not have material exposures towards the mortgage market in Luxembourg.</t>
  </si>
  <si>
    <t>SE.RECI.971</t>
  </si>
  <si>
    <t>Finansinspektionen made a decision of reciprocating a risk weight floor of 20 % for Norwegian residential real estate exposures. The floor will apply for Swedish credit institutions that have branches or other exposures in Norway and are authorised to use an internal ratings-based approach for the calculation of their capital requirement for credit risks.</t>
  </si>
  <si>
    <t>SE.NECI.1143</t>
  </si>
  <si>
    <t>Finansinspektionen has decided to not reciprocate the Belgian SyRB given that that Swedish IRB bank’s relevant sectoral exposures are well below the threshold of EUR 2 billion.</t>
  </si>
  <si>
    <t>SE.RECI.1257</t>
  </si>
  <si>
    <t>Sweden reciprocated the norwegian 4,5% Systemic Risk Buffer rate on all relevant exposures in Norway.</t>
  </si>
  <si>
    <t>SE.NECI.1530</t>
  </si>
  <si>
    <t>Finansinspektionen has decided to not reciprocate the German SRB given that the  Swedish bank’s relevant exposures are well below the thresholds applied.</t>
  </si>
  <si>
    <t>SE.RECI.1589</t>
  </si>
  <si>
    <t>Finansinspektionen decided to reciprocate the Danish sectoral SyRB of 7 percent applicable on exposures to real-estate companies in Denmark.</t>
  </si>
  <si>
    <t>UK.NECI.540</t>
  </si>
  <si>
    <t>UK.NECI.352</t>
  </si>
  <si>
    <t>HM Treasury</t>
  </si>
  <si>
    <t>UK.RECI.697</t>
  </si>
  <si>
    <t>as in ESRB/2018/8</t>
  </si>
  <si>
    <t>https://www.bankofengland.co.uk/prudential-regulation/publication/2019/large-exposures-reciprocation-of-french-measure</t>
  </si>
  <si>
    <t>UK.NECI.276</t>
  </si>
  <si>
    <t>http://www.bankofengland.co.uk/publications/Documents/records/fpc/pdf/2016/record1607.pdf</t>
  </si>
  <si>
    <t>Reciprocating countries</t>
  </si>
  <si>
    <t>Reciprocity has been requested</t>
  </si>
  <si>
    <t>BE.4RWS.489</t>
  </si>
  <si>
    <t>458 -  risk weights for RRE and CRE</t>
  </si>
  <si>
    <t>Not Active</t>
  </si>
  <si>
    <t>BE.4RWS.89</t>
  </si>
  <si>
    <t>Art. 458(9)CEE</t>
  </si>
  <si>
    <t>is currently applicable</t>
  </si>
  <si>
    <t>ESRB/2016/3</t>
  </si>
  <si>
    <t>BE.4RWS.90</t>
  </si>
  <si>
    <t>SRB</t>
  </si>
  <si>
    <t>FI.4RWS.448</t>
  </si>
  <si>
    <t>ESRB/2018/1</t>
  </si>
  <si>
    <t>FR.4LES.490</t>
  </si>
  <si>
    <t>458 - large exposures (Art 392, 395 and 403)</t>
  </si>
  <si>
    <t>ESRB/2018/8</t>
  </si>
  <si>
    <t>NL.4RWS.1096</t>
  </si>
  <si>
    <t>NL.4RWS.1204</t>
  </si>
  <si>
    <t>NO.4RWS.1276</t>
  </si>
  <si>
    <t>NO.4RWS.1277</t>
  </si>
  <si>
    <t>NO.4RWS.887</t>
  </si>
  <si>
    <t>NO.4RWS.897</t>
  </si>
  <si>
    <t>NO.RIWO.149</t>
  </si>
  <si>
    <t>Risk weights (other)</t>
  </si>
  <si>
    <t>Art. 101 CRD and Art. 144 CRR</t>
  </si>
  <si>
    <t>SE.4OTH.1046</t>
  </si>
  <si>
    <t>458 - miscellaneous/combined</t>
  </si>
  <si>
    <t>ESRB/2023/4</t>
  </si>
  <si>
    <t>SE.4OTH.1437</t>
  </si>
  <si>
    <t>SE.4RWS.1408</t>
  </si>
  <si>
    <t>SE.4RWS.516</t>
  </si>
  <si>
    <t>ESRB/2019/1</t>
  </si>
  <si>
    <t>SE.PIL2.178</t>
  </si>
  <si>
    <t>Art. 103 CRD</t>
  </si>
  <si>
    <t>Note of revocation/replacement</t>
  </si>
  <si>
    <t>ESRB recommended reciprocation</t>
  </si>
  <si>
    <t>AT.OTHR.379</t>
  </si>
  <si>
    <t>Other</t>
  </si>
  <si>
    <t>Minimum Standards for the Risk Management and Granting of Foreign Currency Loans and Loans with Repayment Vehicles. These minimum standards constitute a recast of the FMA Minimum Standards for the Risk Management and Granting of Foreign Currency Loans and Loans with Repayment Vehicles (FMA-FXTT-MS) of 2013 and shall replace them with effect from June 2017.</t>
  </si>
  <si>
    <t>BE.PIL2.88</t>
  </si>
  <si>
    <t>Capital add-on for banks with excessive trading actvities as measured according to two indicators (volume-based, risk-based).</t>
  </si>
  <si>
    <t>Extension of the stricter national measure under article 458 CRR for residential mortgage loans by one year.</t>
  </si>
  <si>
    <t>Following the stipulations in Art. 458(9) CRR, the measure expired on 28 May 2017. The National Bank of Belgium issued a recommendation to Belgian IRB banks to maintain sound lending standards and to continue the application and reporting of capital buffers conform the expired measure.</t>
  </si>
  <si>
    <t>https://www.nbb.be/doc/cp/moniteur/2016/20160609_kb_2016_05_31.pdf</t>
  </si>
  <si>
    <t>5 percentage point add-on to the risk weights applied by banks that use the IRB approach to mortgage loans to Belgian residents covered by residential real estate in Belgium. Continuation of a measure (but now under the CRD/CRR framework) that was already applicable from 8 December 2013 onwards.
The measures was extended on the 23 October 2015 for an additional year with respect to the original version.
This measure was replaced by a new one (BE.489) on 28 May 2017.</t>
  </si>
  <si>
    <t>ollowing the stipulations in Art. 458(9) CRR, the measure expired on 28 May 2017. The National Bank of Belgium issued a recommendation to Belgian IRB banks to maintain sound lending standards and to continue the application and reporting of capital buffers conform the expired measure.</t>
  </si>
  <si>
    <t>https://www.eba.europa.eu/documents/10180/657547/EBA-Op-2014-02+Opinion+on+measures+to+address+macroprudential+or+systemic+risk.pdf
https://www.nbb.be/doc/cp/moniteur/2016/20160609_kb_2016_05_31.pdf</t>
  </si>
  <si>
    <t>The measure consists of two components. The first component imposes a 5-percentage-point risk weight add-on for IRB banks’ exposures to Belgian mortgage loans. The second, more targeted, component further increases the risk weights in line with the risk profile of the IRB bank’s mortgage portfolio (by applying a multiplier of 1.33 to the (microprudential) risk weight of the residential mortgage loan portfolio).
The National Bank of Belgium (NBB), under its mandate provided by Article 458(9) of the CRR, extended the measure by one year starting on 1 May 2020. The NBB, in its capacity of macroprudential authority, requests an extension by one year of the period of application. The extension would apply from May 1, 2021 to April 30, 2022.</t>
  </si>
  <si>
    <t>BG.OTHR.256</t>
  </si>
  <si>
    <t>Measures to prevent uncertainty and transfer of vulnerabilities through contagion channels. Banks with Greek equity in Bulgaria were required to implement a more conservative policy on group placements, to develop a programme to reduce exposures and impose a ban on new investments in Greek government securities. Measures also included the requirement to maintain cash and total liquidity levels above those required for other credit institutions. The banks concerned were further required to implement plans for reducing their dependency on funds attracted from the parent or other group entities.</t>
  </si>
  <si>
    <t>The measures designed to promptly address the risks prioritized at the time of implementation.</t>
  </si>
  <si>
    <t>Described in detail in the BNB Economic Review (2/2015) on p. 28.</t>
  </si>
  <si>
    <t>BG.OTHR.257</t>
  </si>
  <si>
    <t>Measures to prevent uncertainty and transfer of vulnerabilities through contagion channels. Requirements for the banks with Greek equity in Bulgaria to achieve operational independence in their activities on the territory of Bulgaria. Requirements for the banks with Greek equity in Bulgaria to ensure their own liquidity  management independent of group decisions. Moreover, these banks were recommended to reduce their net balance item (assets less liabilities) to the parent and entities of the group.</t>
  </si>
  <si>
    <t>BG.OTHR.252</t>
  </si>
  <si>
    <t>2009</t>
  </si>
  <si>
    <t>Banks are allowed to distribute profits based on quantitative and qualitative criteria such as: minimum level of capital adequacy (CAR and Tier I), liquidity coverage ratio (the share of liquid assets to attracted funds from non-banks/core funding ), asset quality indicators (incl. level of NPLs), supervisory ratings and other elements specific for the  respective year. The dividend distribution restrictions were confirmed as of March 2016. Implemented via recommendations.</t>
  </si>
  <si>
    <t>The set of measures aimed to address risks and vulnerabilities in preventive manner using existing supervisory powers prior to the implementation of the Regulation (EU) 575/2013 and full scope of capital buffers according to the Directive 2013/36.</t>
  </si>
  <si>
    <t>BG.LIQR.253</t>
  </si>
  <si>
    <t>All banks were recommended to enhance the timeliness and granularity of liquidity information and to strengthen precautionary measures to improve the management of liquidity risk. Since mid 2014 banks have prepared liquidity reporting on a more frequent (even daily) basis. Banks have to update their liquidity contingency plans to reflect latest developments in the markets they are exposed to. Banks have to explore funding options to reduce funding concentration. As of March 2016 the minimum liquidity coverage ratio was confirmed at 20% (the share of liquid assets to attracted funds from non-banks/core funding ).</t>
  </si>
  <si>
    <t>The set of measures aimed to address risks and vulnerabilities in preventive manner using existing supervisory powers prior to the implementation of the Regulation (EU) 575/2013. With the LCR requirement entering into force the nationally designed liquidity metrics became no longer applicable.</t>
  </si>
  <si>
    <t>BG.OTHR.254</t>
  </si>
  <si>
    <t>"Dedicated reporting for the macroprudential monitoring of the banking sector to identify risks related to credit growth (incl. loans in foreign currencies), excessive risk taking, risks related to significant exposure concentrations, etc.
Reporting forms, introduced in January 2015, had monthly frequency and covered currency and residential information, volumes and types of exposures to parent banks, as well as loan-level data. In addition, annual data collection on credit migration between the categories of past-due status has been initiated. 
Since March 2015 quarterly reporting on credit activity in the banking sector has been introduced. This monitoring toolkit was further enhanced in the beginning of 2022 with additional quarterly reporting on the volume and number of new RRE loans and lending standards’ indicators on collateral, overall indebtedness and payment capacity such as LTV, DTI, DSTI, LTI, LSTI in line with the ESRB Recommendation on data gaps (ESRB/2016/14)."</t>
  </si>
  <si>
    <t>HR.124C.336</t>
  </si>
  <si>
    <t>Art 124 - Risk weights on CRE</t>
  </si>
  <si>
    <t>Higher risk weights for exposures secured by mortgages on commercial immovable property (from 50% to 100%).</t>
  </si>
  <si>
    <t>Art 124 CRR</t>
  </si>
  <si>
    <t>https://www.hnb.hr/en/-/odluka-o-provedbi-uredbe-eu-br-575-2013-u-dijelu-vrednovanja-imovine-i-izvanbilancnih-stavki-te-izracunavanja-regulatornoga-kapitala-i-kapitalnih-zaht</t>
  </si>
  <si>
    <t>HR.124R.1689</t>
  </si>
  <si>
    <t>Art 124 - Risk weights on RRE</t>
  </si>
  <si>
    <t>Croatian National Bank has reviewed the discretions granted by Article 124 of the CRR regarding establishing stricter criteria for exposures secured by mortgages on residential properties, and applying a higher risk weight (100%) for exposures secured by mortgages on commercial properties due to implementation of Regulation (EU) 2024/1623 of the European Parliament and of the Council of 31 May 2024 amending Regulation (EU) No 575/2013 as regards requirements for credit risk, credit valuation adjustment risk, operational risk, market risk and the output floor.  As a result, it has dropped 2 out of 4 stricter criteria for residential real estate due to updated definition of "residential property.</t>
  </si>
  <si>
    <t>https://www.hnb.hr/en/core-functions/financial-stability/cnb-s-macroprudential-policy/real-estate-market-related-measures
https://www.hnb.hr/en/-/decision-implementing-the-part-of-regulation-eu-no-575-2013-pertaining-to-the-valuation-of-assets-and-off-balance-sheet-items-and-the-calculation-of-own-funds-and-capital-requirements</t>
  </si>
  <si>
    <t>HR.124C.1690</t>
  </si>
  <si>
    <t>Croatian National Bank has reviewed the discretions granted by Article 124 of the CRR regarding establishing stricter criteria for exposures secured by mortgages on residential properties, and applying a higher risk weight (100%) for exposures secured by mortgages on commercial properties due to implementation of Regulation (EU) 2024/1623 of the European Parliament and of the Council of 31 May 2024 amending Regulation (EU) No 575/2013 as regards requirements for credit risk, credit valuation adjustment risk, operational risk, market risk and the output floor.  As a result, it has revoked the application of the higher risk weight requirement for commercial real estate.</t>
  </si>
  <si>
    <t>https://www.hnb.hr/en/core-functions/financial-stability/cnb-s-macroprudential-policy/real-estate-market-related-measures				
https://www.hnb.hr/en/-/decision-implementing-the-part-of-regulation-eu-no-575-2013-pertaining-to-the-valuation-of-assets-and-off-balance-sheet-items-and-the-calculation-of-own-funds-and-capital-requirements</t>
  </si>
  <si>
    <t>HR.124R.91</t>
  </si>
  <si>
    <t>Stricter defintion of residential property for preferential risk weighting (e.g. owner cannot have more than 2 residential properties, exclusion of holiday homes, need for occupation by owner or tenant).</t>
  </si>
  <si>
    <t>HR.OTHR.627</t>
  </si>
  <si>
    <t>Recommendation for all credit institutions in Croatia that grant consumer loans to apply, in determining a consumer’s creditworthiness for all non-housing consumer loans with original maturity equal to or longer than 60 months , the minimum costs of living that may not be less than the amount prescribed by the act governing a part of salary exempted from foreclosure.</t>
  </si>
  <si>
    <t>https://www.hnb.hr/en/core-functions/financial-stability/macroprudential-measures/other-measures-and-activities</t>
  </si>
  <si>
    <t>CY.4LIQ.429</t>
  </si>
  <si>
    <t>458 - liquidity requirements  (Part six of CRR)</t>
  </si>
  <si>
    <t>The introduction of a macroprudential liquidity buffer in the form of an liquidity coverage requirement (LCR) add-on, which will come into force on 1 January 2018 and be gradually phased out over 12 months, i.e. by 31 December 2018. To be applied on all domestic credit institutions and foreign (EU &amp; third country) controlled subsidiaries; with the exception of one credit institution due to its business model and sufficiently stringent liquidity requirments to date.</t>
  </si>
  <si>
    <t>https://www.centralbank.cy/en/financial-stability/macroprudential-policy-decisions/additional-liquidity-requirements-lcr-add-ons</t>
  </si>
  <si>
    <t>CY.PIL2.238</t>
  </si>
  <si>
    <t>The cap on deposit interest rates measure is implemented as part of the internal capital adequacy assessment process-supervisory risk evaluation process (ICAAP-SREP) and defines an interest rate ceiling for deposits beyond which additional Pillar II specific own fund requirements are imposed. The interest rate ceiling is set at Euribor + 2%. Latest amendment dates from 17 February 2015.</t>
  </si>
  <si>
    <t>DK.OTHR.396</t>
  </si>
  <si>
    <t>Supervisory diamond for commercial banks that limits (see link for details):
a) Liquidity risks
b) Funding risks
c) Lending growth (20% cap)
d) Large exposures: The sum of the 20 largest exposures must be less than 175% CET1.
e) Commercial property exposures (less than 25% of total bank exposures)</t>
  </si>
  <si>
    <t>https://www.finanstilsynet.dk/en/Tilsyn/Tilsynsdiamanten-for-pengeinstitutter</t>
  </si>
  <si>
    <t>DK.OTHR.397</t>
  </si>
  <si>
    <t>Consumer protection restrictions on mortgage products available to home owners with a (total) debt-to-income (before tax) ratio above 400 per cent and a loan-to-value ratio above 60 per cent: (a) Interest-rate fixation must be at least 5 years  (b) Deferred amortization only applicable on 30-year fixed rate loans.</t>
  </si>
  <si>
    <t>http://www.hoeringsportalen.dk/Hearing/Details/61185</t>
  </si>
  <si>
    <t>DK.OTHR.100</t>
  </si>
  <si>
    <t>Supervisory diamond for mortgage banks (In Denmark, mortgage banks are the only financial institutions allowed to grant loans against mortgage on real property by issuing covered mortgage bonds):
A) Lending growth: Lending growth for individual customer segments must be below 15 per cent per year. The four customer segments are private homeowners, residential rental properties, agricultural properties and other businesses
B) Borrower interest rate risk: The proportion of loans where Loan-to-value (LTV) exceeds 75 per cent, and where the interest rate is only locked up for up to 2 years, must be less than 25 per cent. Applies only to private loans and home rental loans. Loans with hedging in the form of interest rate swaps and the like can be disregarded.
C) Interest-only lending to households with LTV above 60% (less for holiday houses) is limited.
D) Loans with short funding: The proportion of loans refinanced must be per quarters less than 12.5 per cent of the total loan portfolio and annually less than 25 per cent.
E) Large exposures: The sum of the 20 largest exposures must be less than the institute's core capital.</t>
  </si>
  <si>
    <t>EE.4RWS.705</t>
  </si>
  <si>
    <t>A credit institution-specific minimum level of 15% for the exposure-weighted average of the risk weights applied to the portfolio of retail exposures secured by mortgages on immovable property to obligors residing in Estonia. The measure applies to credit institutions that use the IRB Approach for calculating regulatory capital requirements.                                                                                  On May 18 2021, Eesti Pank has extended the measure for two additional years.</t>
  </si>
  <si>
    <t>https://www.esrb.europa.eu/pub/pdf/other/esrb.notifications20190828_other_ee~a18c9d9637.en.pdf?ea8121176360d152e5a28025b63666ce</t>
  </si>
  <si>
    <t>EE.4RWS.1371</t>
  </si>
  <si>
    <t>This measure extends for two additional years the credit institution specific minimum level of 15% for the exposure-weighted average of the risk weights applied to the portfolio of retail exposures secured by mortgages on immovable property to obligors residing in Estonia.</t>
  </si>
  <si>
    <t>Credit institution-specific minimum level of 15% for the average risk weight on housing loans of credit institutions that have adopted the Internal Ratings Based Approach. 
At its meeting on 28 June 2019, the Board of the Financial Supervisory Authority (FIN-FSA) decided to extend the period for the application based on Article 458 (2)(d)(vi)of the CRR, from 1 January 2020 until 31 December 2020.
At its meeting on 30 September 2019, the Board of the Financial Supervisory Authority (FIN-FSA) decided not to extend the validity of the minimum level of 15% for the average risk weight on residential mortgage loans applicable to credit institutions that have adopted the Internal Ratings Based Approach for the calculation of capital requirements, imposed pursuant to Article 458 of the Capital Requirements Regulation. Thus, the measure expired on 31 December 2020.</t>
  </si>
  <si>
    <t>http://www.esrb.europa.eu/pub/pdf/other/esrb.notification_other170627_Finland.en.pdf?663d5f7dd2e2c29c5b61dcd7d9d4f92b
https://www.finanssivalvonta.fi/globalassets/en/publications/press-releases/2020/mv_30092020/paatos_makrovakausvalineet_20200930_eng.pdf</t>
  </si>
  <si>
    <t>The measure consists of a tightening of large exposure limits applicable to highly indebted large non-financial corporations that are resident in France. French Systemically Important Institutions shall not incur an exposure that exceeds 5 % of their eligible capital for NFCs or group of connected NFCs assessed to be highly indebted.
The Haut Conseil de Stabilité Financière has extended the measure for two years starting on 1 July 2021.</t>
  </si>
  <si>
    <t>HU.LIQR.722</t>
  </si>
  <si>
    <t>The macroprudential regulation of the MNB sets a 30-percent maximum limit for the Interbank Funding Ratio (IFR), which is the weighted sum of liabilities originated from all financial corporations divided by the balance sheet total excluding own funds. 
The regulation takes into account the heterogeneous risks of wholesale funds, assigning different weights to different remaining maturities and denominations in the numerator. The scope of the measure shall apply to credit institutions operating in Hungary. The scope of the measure does not cover: a) building societies, b) MFB Magyar Fejlesztési Bank Zártkörűen Működő Részvénytársaság, c) Magyar Export-Import Bank Zártkörűen Működő Részvénytársaság, d) KELER Központi Értéktár Zártkörűen Működő Részvénytársaság. There is also a de minimis limit, as institutions with a balance sheet total of less than HUF 30 billion are exempted. Banks and banking groups subject to the  regulation need to comply on a sub-consolidated level.</t>
  </si>
  <si>
    <t>https://www.mnb.hu/en/pressroom/press-releases/press-releases-2018/new-regulation-of-the-mnb-mitigates-excessive-reliance-of-the-banking-system-on-risky-sources-of-funding</t>
  </si>
  <si>
    <t>HU.LIQR.617</t>
  </si>
  <si>
    <t>Modification of the existing Foreign Exchange Funding Adequacy Ratio (FFAR) reducing the differences with the NSFR developed by the BCBS. Introducing additional maturity buckets for instruments with banks of 0-6, 6-12, 12+ months. Stable deposits will have an available stable funding (ASF) factor of 95%, whilst for other deposits it will be 90%. Required stable funding (RSF) factor of 85% for performing loans over 1 year remaining maturity and 1% for guarantees. Furthermore, FX swaps are no longer excluded as the regulation introduces netting over all currencies including HUF with 0% ASF and 100% RSF factors. Factors will be determined by the Commission's proposalon the CRR2. In addition, the categorisation of liquid assets will be based on the LCR regulation. The scope of the measure remains unchanged, it shall apply to credit institutions operating in Hungary with the exception of: a) building societies, b) MFB Magyar Fejlesztési Bank Zártkörűen Működő Részvénytársaság, c) Magyar Export-Import Bank Zártkörűen Működő Részvénytársaság, d) KELER Központi Értéktár Zártkörűen Működő Részvénytársaság. Banks and banking groups subject to the proposed regulation need to comply on a sub-consolidated level.</t>
  </si>
  <si>
    <t>HU.LIQR.110</t>
  </si>
  <si>
    <t>https://www.mnb.hu/en/pressroom/press-releases/press-releases-2018/mnb-brings-its-regulation-on-stable-fx-financing-closer-to-international-standards</t>
  </si>
  <si>
    <t>HU.LIQR.838</t>
  </si>
  <si>
    <t>Modification of the IFR regulation: The on-balance sheet liabilities related to derivative transactions with financial companies and arising from the revaluation of these transactions are exempted in determining the IFR.</t>
  </si>
  <si>
    <t>https://www.mnb.hu/en/pressroom/press-releases/press-releases-2020/mnb-reviews-macroprudential-regulations-addressing-fx-funding-risks</t>
  </si>
  <si>
    <t>HU.LIQR.249</t>
  </si>
  <si>
    <t>The entry into force of the Mortgage Funding Adequacy Ratio (MFAR) was modified to ensure a level playing field and a smooth transition process. A de minimis rule was also introduced, exempting institutions with a net stock of residential mortgage loans with maturities over one year of less than HUF 3 billion.</t>
  </si>
  <si>
    <t>HU.LIQR.111</t>
  </si>
  <si>
    <t>https://www.mnb.hu/en/pressroom/press-releases/press-releases-2016/banks-will-be-granted-an-extension-of-six-months-to-improve-their-forint-maturity-match</t>
  </si>
  <si>
    <t>HU.LIQR.803</t>
  </si>
  <si>
    <t>Update (2020/09/17): The temporary modification of the measure in effect from 24 March 2020, according to which the FX liabilities from financial customers with a residual maturity of over one year are subdivided into groups according to residual maturity, with different weights for different maturities, was repealed. Thus, the FFAR regulation is restored to accept FX funds with a residual maturity over one year as 100% stable funds, regardless of the funding partner or fund type. Measure HU.LIQR.110 is now applicable.
Previous measure (2020/03/24):
The FFAR regulation accepted FX funds with a residual maturity over one year as 100% stable funds, regardless of the counterparty or fund type. Following the modification, FX liabilities from financial customers with a residual maturity of over one year are subdivided into groups according to residual maturity, with higher (more favourable) weights for longer maturities (see  below).
Elements to be included in the calculation:
1.1 Foreign currency bonds with a remaining maturity of 1 year or more (100%)
1.2 Foreign currency deposits and liabilities of households, non-financial corporations (SMEs included) and maturity of 1 year or more (100%)
1.3 Foreign currency deposits and liabilities of financial corporations with a remaining maturity of 1–2 years, including deposits of money market funds (70%)
1.4 Foreign currency deposits and liabilities of financial corporations with a remaining maturity of 2–5 years, including deposits of money market funds (90%)
1.5 Foreign currency deposits and liabilities of financial corporations with a remaining maturity of 5 years or more (100%)</t>
  </si>
  <si>
    <t>https://www.mnb.hu/en/pressroom/press-releases/press-releases-2020/the-mnb-takes-several-measures-to-support-the-operation-of-banks</t>
  </si>
  <si>
    <t>HU.LIQR.813</t>
  </si>
  <si>
    <t>Update (2020/09/17): The temporary modification of the measure in effect from 24 March 2020, according to which the limit on the FX mismatches between assets and liabilities relative to the balance sheet total narrowed from 15 per cent to 10 per cent is repealed. Thus, the FECR limit is restored to 15 percent. Measure HU.LIQR.112 is now applicable.
Previous mesaure (2020/03/24):
Modification of the FECR regulation: The limit on the FX mismatches between assets and liabilities relative to the balance sheet total is narrowed from 15% to 10%.</t>
  </si>
  <si>
    <t>HU.LIQR.112</t>
  </si>
  <si>
    <t>HU.LIQR.814</t>
  </si>
  <si>
    <t>Amendment of the Mortgage Funding Adequacy Ratio (MFAR) requirement: the restriction of cross-ownership of mortgage bonds within the banking sector is cancelled. Before this current revision, the difference between the mortgage bonds owned by a given bank and a predetermined ratio of all accepted funds had to be “netted”, i.e. deducted from the amount of accepted funds, unless the difference was negative. This restriction is withdrawn in order to support the reduction of the cost of long-term HUF funding.</t>
  </si>
  <si>
    <t>https://www.mnb.hu/en/pressroom/press-releases/press-releases-2020/the-magyar-nemzeti-bank-takes-immediate-measures-to-help-households</t>
  </si>
  <si>
    <t>HU.LIQR.601</t>
  </si>
  <si>
    <t>5 amendments to the Mortgage Funding Adequacy Ratio (MFAR) regulation, taking effect in two steps :  (i) increase of the “de minimis” threshold from HUF 3 billion to HUF 10 billion (would come into force on 1 February 2019), (ii) the required minimum original maturity of accepted funds shall be increased to 3 years from the current requirement of 2 years, (iii) the required minimum level of long-term eligible funds in proportion to net value of residential mortgage loans with remaining maturity over 1 yearshall be increased from 20 to 25 percent, (iv) mortgage bonds that are accepted as long-term funds, or their issuer or guarantor shall be rated by an external credit rating agency, (v) (withdrawn on 18 March 2020) mortgage bonds held by banks for the purpose of market making shall be exempted from the restriction of cross-ownership of mortgage bonds within the banking sector up to the lower of 10 percent of the outstanding amount of the given mortgage bonds and HUF 3 billion the remaining. (ii) to (v) changes would be effective from 1 October 2019.</t>
  </si>
  <si>
    <t>https://www.mnb.hu/en/pressroom/press-releases/press-releases-2019/mnb-promotes-further-deepening-of-mortgage-bond-market-by-amending-regulation-on-forint-maturity-mismatch</t>
  </si>
  <si>
    <t>HU.LIQR.925</t>
  </si>
  <si>
    <t>Amendment of the Mortgage Funding Adequacy Ratio (MFAR) regulation. The new Decree introduces six modifications that incorporate green aspects into the regulation and help to achieve regulatory goals related to HUF maturity mismatches along with the development of the mortgage bond market.</t>
  </si>
  <si>
    <t>HU.LIQR.1094</t>
  </si>
  <si>
    <t>The requirement  for the Foreign Exchange Coverage Ratio limits the degree of mismatch between FX assets and FX liabilities in proportion to the balance sheet total. It was at 15% before the amendment. Now, the minimum value of the FECR is reduced to -30 percent when banks’ FX liabilities exceed the amount of FX assets. The 15 percent limit remains unchanged in the case  banks’ FX assets exceed the amount of their FX liabilities.</t>
  </si>
  <si>
    <t>https://www.mnb.hu/en/pressroom/press-releases/press-releases-2021/mnb-supports-efficient-operation-of-fx-swap-market-by-amending-macroprudential-regulation</t>
  </si>
  <si>
    <t>The definition of the Foreign exchange Funding Adequacy Ratio (FFAR) is tightened (e.g. long-term FX swaps are no longer recognised as long-term stable FX funding) and the 100% level for the ratio is to be reached from 1 January 2016 (26/2015 (VII.30), MNB Decree).</t>
  </si>
  <si>
    <t>http://www.mnb.hu/en/financial-stability/macroprudential-policy/the-macroprudential-toolkit/instruments-addressing-liquidity-and-financing-risks</t>
  </si>
  <si>
    <t>HU.LIQR.1128</t>
  </si>
  <si>
    <t>Amendment of the Mortgage Funding Adequacy Ratio (MFAR) regulation. The main amendment to the regulation concerns the acceptance of FX mortgage bonds and refinancing loans in the calculation of the MFAR in addition to HUF mortgage-based funds (with limitations). The other major change involves the postponement of the tightening measures originally planned to take effect on 1 October 2022 with 1 year, including the increase of the required minimum level of the MFAR, the limitation of bank cross-ownership and the requirement of introduction of all mortgage bonds to regulated markets. Other smaller amendments were also made to maintain the consistency of the regulation.</t>
  </si>
  <si>
    <t>https://www.mnb.hu/en/pressroom/press-releases/press-releases-2022/mnb-supports-development-of-mortgage-bond-market-and-stable-funding-of-banks-by-amending-mfar-regulation</t>
  </si>
  <si>
    <t>HU.LIQR.1286</t>
  </si>
  <si>
    <t>The Magyar Nemzeti Bank (MNB) postponed tightening measures from the 1st of October 2023 for an indefinite period. The said tightening measures are the increase of the required minimum level of the MFAR from 25 to 30 percent, the limitation of bank cross-ownership of mortgage bonds and the requirement of introducing all mortgage bonds taken into account in the ratio calculation to regulated markets. Other smaller amendments were also made which became necessary because of an amendment to the Act on Mortgage Loan Companies and on Mortgage Bonds coming into effect on 1 January 2023</t>
  </si>
  <si>
    <t>Introduction of a Mortgage Funding Adequacy Ratio (MFAR), which requires a minimum level of HUF denominated mortgage-backed liabilities relative to the amount of residential mortgage loans in HUF. The minimum ratio is set at 15%  (20/2015, (VI.29) MNB Decree).</t>
  </si>
  <si>
    <t>Introduction of a Foreign Exchange Coverage Ratio (FECR) whereby the overall on-balance sheet currency mistmach of credit institutions is limited to 15% of their balance sheet total (25/2015, (VII.30) MNB Decree).</t>
  </si>
  <si>
    <t>HU.LIQR.1444</t>
  </si>
  <si>
    <t>According to the previous amendment of the Mortgage Funding Adequacy Ratio (MFAR) regulation in effect from 1 July 2022, FX mortgage bonds and refinancing loans are accepted, but new FX funds were required to finance energy efficient mortgages after 1 October 2023.
However, Magyar Nemzeti Bank (MNB) has decided that more preparation time is warranted for fulfilling this requirement and therefore postpones the green requirement by one year, to 1 October 2024.</t>
  </si>
  <si>
    <t>https://njt.hu/jogszabaly/2022-22-20-2C</t>
  </si>
  <si>
    <t>HU.LIQR.113</t>
  </si>
  <si>
    <t>Acceleration of the gradual increase of the required liquidity coverage ratio so that the 100% requirement is met by 1 April 2016 (rather than 1 January 2018). Repeal of two existing short-term liquidity regulations in force (balance sheet coverage ratio, deposit coverage ratio) (35/2015, (IX, 24) MNB Decree).</t>
  </si>
  <si>
    <t>Art. 412(5) CRR and national law</t>
  </si>
  <si>
    <t>HU.OTHR.1606</t>
  </si>
  <si>
    <t>The Magyar Nemzeti Bank (MNB) modifies the institutional scope of three corresponding
macroprudential financing regulations by setting new and increasing existing de minimis limits:
• Introduction of a de minimis limit of HUF 100 billion for the Balance Sheet Total in case of the FFAR
• Introduction of a de minimis limit of HUF 100 billion for the Balance Sheet Total in case of the FECR
- Increase of a de minimis limit of HUF 30 billion to HUF 100 billion for the Balance Sheet Total in case of the IFR.
From 1 October 2024, only banks, including branches and banking groups with a Balance Sheet Total above
HUF 100 billion are obliged to comply with these regulations.</t>
  </si>
  <si>
    <t>https://njt.hu/jogszabaly/2014-14-20-2C
https://njt.hu/jogszabaly/2015-25-20-2C
https://njt.hu/jogszabaly/2018-10-20-2C</t>
  </si>
  <si>
    <t>HU.OTHR.1607</t>
  </si>
  <si>
    <t>The Magyar Nemzeti Bank (MNB) introduced the MFAR regulation in 2017. As of July 1, 2022, the MNB modified the regulation by accepting FX mortgage bonds and refinancing loans. These funds were required to finance energy efficient (green) mortgages if they were issued after 1 October 2023 to be accepted as stable funds in the MFAR calculation. In 2023 august the MNB postponed the green requirement by one year to 1
October 2024. The current amendment postpones this latter requirement for an indefinite period from 1 October 2024.</t>
  </si>
  <si>
    <t>HU.LIQR.115</t>
  </si>
  <si>
    <t>The Foreign exchange Funding Adequacy Ratio (FFAR) introduced 2012 is the ratio of stable foreign exchange funds divided by the weighted foreign exchange denominated assets outstanding. The regulation was changed on 1 July 2014 in terms of content, required level and institutional scope. The required level was raised from 65% to 75% on 1 July 2014 and will change by 5 percentage points semi-annually to 100% by 2017. (14/2014 (V.19) MNB Decree).</t>
  </si>
  <si>
    <t>HU.LIQR.116</t>
  </si>
  <si>
    <t>The short-term liquidity requirement was set up in 2011 to make sure that institutions hold a sufficient liquidity buffer  to cover an idiosyncratic or market-wide stress scenario. Credit institutions shall hold liquidity reserves in the following 30-day-horizon that should cover 20% of the retail and corporate deposits (deposit coverage ratio (DCR)) or cover 10% of the balance sheet total (total liabilities) of the institutions (balance sheet coverage ratio (BCR)). Credit institutions must meet at least one of these two minimum levels. The credit institutions had to comply with the minimum requirements of DCR and BCR from 16 January 2012 onwards. Only the legal form of regulation was changed recently as the earlier Government Decree was replaced by an MNB Decree (24/2014 (VI.27.). MNB Decree)</t>
  </si>
  <si>
    <t>The short-term liquidity requirement on deposit coverage ratio (DCR)) and/or balance sheet coverage ratio (BCR) become unnecessary because of the LCR thus this regulation will be repealed on 1 January 2016. (35/2015 (IX.24) MNB Decree)</t>
  </si>
  <si>
    <t>HU.OTHR.118</t>
  </si>
  <si>
    <t>Start of the operation of a dedicated asset management company to purchase distressed commercial real estate portfolio from financial institutions.</t>
  </si>
  <si>
    <t>By the end of June 2017, MARK has been phased out from the macroprudential toolkit via the successful sale of the AMC. The company continues its activity on a market basis.</t>
  </si>
  <si>
    <t>www.markzrt.hu</t>
  </si>
  <si>
    <t>IE.124R.491</t>
  </si>
  <si>
    <t>Stricter criteria for preferential weighting residential mortgage loans: the property needs to be owner-occupied and the LTV must not exceed 75%. These are a continuation of previous policies in place since 2007.</t>
  </si>
  <si>
    <t>See FSR 2021:II at https://www.centralbank.ie/docs/default-source/publications/financial-stability-review/financial-stability/financial-stability-review-2021-ii.pdf?sfvrsn=4 and Implementation Notice at https://www.centralbank.ie/docs/default-source/regulation/industry-market-sectors/credit-institutions/regulatory-requirements/implementation-of-competent-authority-discretions-and-options-in-crd-iv-and-crr.pdf</t>
  </si>
  <si>
    <t>IE.OTHR.121</t>
  </si>
  <si>
    <t>Introduction of a set of requirements for loan originating alternative investment funds.</t>
  </si>
  <si>
    <t>AIFMD</t>
  </si>
  <si>
    <t>IE.124C.243</t>
  </si>
  <si>
    <t>Minimum risk weight on commercial property lending increased from 50% to 100%. These are a continuation of previous policies in place since 2007.</t>
  </si>
  <si>
    <t>LV.124C.760</t>
  </si>
  <si>
    <t>A 100% risk weight is applied to commercial real estate exposures instead of the usual 50%. The reasoning behind the increased risk weight is the small size of the market that makes the commercial real estate objects less liquid and potentially subject to higher losses and longer recovery periods to the banks in case of the foreclosure.</t>
  </si>
  <si>
    <t>LV.124C.1423</t>
  </si>
  <si>
    <t>The risk weight applied to exposures secured by mortageges on commercial immovable property in Latvia will decrease to 80% (from 100%).</t>
  </si>
  <si>
    <t>https://www.bank.lv/en/operational-areas/financial-stability/macroprudential-measures-introduced-in-latvia</t>
  </si>
  <si>
    <t>LI.124R.524</t>
  </si>
  <si>
    <t>In accordance with Art. 124(2) of Regulation (EU) No 575/2013, Liechtenstein has exercised the option to apply the following risk weights: (a) for residential properties with an LTV up to 66 2/3%: 35%; (b) for residential properties with an LTV between 66 2/3 % and 80%: 50%.</t>
  </si>
  <si>
    <t>LU.RIWO.137</t>
  </si>
  <si>
    <t>Institutions using the internal ratings-based approach shall ensure that their regulatory capital adequacy is subject to a stress test which considers the effects of severe, but plausible, recession scenarios. The stress test on the retail exposures secured by residential property requires an increase of minimum 50% of the PDs and a LGD of at least 20%.</t>
  </si>
  <si>
    <t>National Recommendation</t>
  </si>
  <si>
    <t>https://www.cssf.lu/en/Document/circular-cssf-12-552/</t>
  </si>
  <si>
    <t>LU.RIWO.136</t>
  </si>
  <si>
    <t>Institutions using the standardised approach for credit risk need to apply a risk weight of 75% to the part of the mortgage loan exceeding 80% of the value of the real estate object.</t>
  </si>
  <si>
    <t>LU.RIWO.348</t>
  </si>
  <si>
    <t>The use of rating systems, as part of the internal ratings-based approach for the calculation of risk weighted exposure amounts for credit risk, should not result in an average risk weight applied to retail (non-SME) exposures secured by residential property located in Luxembourg below 15%. Hence, the 15% risk weight is considered as a minimum risk weight floor.</t>
  </si>
  <si>
    <t>http://www.bcl.lu/fr/stabilite_surveillance/CRS/Avis_Recommandation_CRS_00_2016_RWfloor_01_07_2016.pdf
http://www.cssf.lu/fileadmin/files/Lois_reglements/Circulaires/Hors_blanchiment_terrorisme/cssf16_643.pdf</t>
  </si>
  <si>
    <t>MT.124R.138</t>
  </si>
  <si>
    <t>Continuation of practice since 2008 for exposures secured by mortgages on residential property and attracting a risk-weight of 35% not to exceed 70% of the market value of that property. (based on Art 124)</t>
  </si>
  <si>
    <t>The stricter criteria on CRR for exposures fully and completely secured by mortgages on residential property is found in the Maltese Subsidiary Legislation 371.17 on CRR (implementing and transitional provisions) regulations, Article 5:
https://legislation.mt/eli/sl/371.17/eng/pdf</t>
  </si>
  <si>
    <t>MT.PIL2.139</t>
  </si>
  <si>
    <t>Required reserve for general banking risks for all banks to mitigate risks arising from heightened level of NPLs (Banking Rule 09).</t>
  </si>
  <si>
    <t>https://www.mfsa.mt/wp-content/uploads/2019/01/20190109_BR09_Main_Text-FINAL.pdf</t>
  </si>
  <si>
    <t>MT.OTHR.347</t>
  </si>
  <si>
    <t>Introduction of measures for credit institutions to reduce their NPL ratio to less than 6%. Credit institutions will be required to draft a NPL Reduction Plan over the next five year period and, if divergences from the plan are registered, credit institutions will be compelled to hold reserves. From a macro-prudential perspective, the amendments help minimise the impact of externalities and the systemic implications of NPLs through better allocation of credit and capital.</t>
  </si>
  <si>
    <t>https://www.mfsa.com.mt/pages/readfile.aspx?f=/files/Announcements/Consultation/2016/BR09%20Amendments%20Final.pdf
https://www.mfsa.mt/wp-content/uploads/2019/01/20190109_BR09_Main_Text-FINAL.pdf</t>
  </si>
  <si>
    <t>MT.OTHR.1315</t>
  </si>
  <si>
    <t>The Malta Financial Services Authority introduces measures for Credit Institutitions licensed by the MFSA, addressing 1) Non-performing Exposures and Forborne Exposures: Ammendments to the quantitative requirements for non-performing exposures (NPEs) and 2) the implementation of the Relevant Guidelines issued by the European Banking Authority (EBA). This Rule is applicable to Credit institutions with a gross NPL ratio equal to or greater than 5% on consolidated, sub-consolidated or solo level.</t>
  </si>
  <si>
    <t>https://www.mfsa.mt/wp-content/uploads/2023/01/BR-09-Measures-Addressing-Non-Performing-Exposures-and-Forborne-Exposures.pdf
Circular to Credit Institutions: https://www.mfsa.mt/wp-content/uploads/2023/01/Circular-to-Credit-Institutions-on-the-Update-to-Banking-Rule-BR09-on-Measures-Addressing-Non-Performing-Exposures-and-Forborne-Exposures.pdf</t>
  </si>
  <si>
    <t>NL.4RWS.1596</t>
  </si>
  <si>
    <t>The current measure imposes a minimum average risk weight for IRB banks’
portfolio of exposures to natural persons secured by mortgages on residential
property located in the Netherlands. Loans partly or wholly covered by the National
Mortgage Guarantee scheme are exempted from the measure.</t>
  </si>
  <si>
    <t>https://zoek.officielebekendmakingen.nl/stcrt-2021-44119.html
https://www.dnb.nl/nieuws-voor-de-sector/toezicht-2024/consultatie-verlenging-regeling-risicoweging-hypothecaire-leningen-2024/
https://www.dnb.nl/en/publications/publications-dnb/fsr/financial-stability-report-autumn-2023/
https://www.dnb.nl/en/publications/publications-dnb/fsr/financial-stability-report-spring-2022/
https://www.imf.org/en/Publications/CR/Issues/2024/04/05/Kingdom-of-the-NetherlandsThe-Netherlands-Financial-System-Stability-Assessment-547346
https://www.imf.org/en/Publications/CR/Issues/2024/04/05/Kingdom-of-the-NetherlandsThe-Netherlands-2024-Article-IV-Consultation-Press-Release-and-547340</t>
  </si>
  <si>
    <t>De Nederlandsche Bank decided to extent the risk weight for targeting asset bubbles in the residential property sector. The measure was initially activated by DNB on 1 January 2022. With the measure, DNB has introduced a minimum average risk weight for the calculation of regulatory capital requirements applicable to exposures to natural persons secured by mortgages on residential property located in the Netherlands, based on art 458(2)(d)(iv) of the CRR. The stricter requirement is applicable to credit institutions that use the Internal Ratings Based (IRB) approach for calculating regulatory capital requirements. The measure would in place until 30 November 2022. With the extension, the measure will run for two additional years, from 1 December 2022 until 30 November 2024.</t>
  </si>
  <si>
    <t>DNB set a minimum average risk weight for the calculation of regulatory capital requirements applicable to exposures to natural persons secured by mortgages on residential property located in the Netherlands, based on art 458(2)(d)(vi) of the CRR. The minimum average risk weighting is to be calculated as follows: (1) For each individual exposure item in scope of the measure, a 12% risk weight is assigned to the portion of the loan not exceeding 55% of the market value of the property that serves to secure the loan, and a 45% risk weight is assigned to the remaining portion of the loan, (2) the minimum average risk weight of the portfolio is the exposure weighted average of the risk weights of the individual loans, calculated as explained above. Individual loans that are exempt from the measure are disregarded in calculating the minimum average risk weight.</t>
  </si>
  <si>
    <t>NO.164R.147</t>
  </si>
  <si>
    <t>Art 164 - LGD for retail exposures on RRE</t>
  </si>
  <si>
    <t>Increase minimum EAD weighted average LGDs for retail exposures secured by residential real estate in Norway from 10% to 20%.</t>
  </si>
  <si>
    <t>Art. 164 CRR</t>
  </si>
  <si>
    <t>https://www.regjeringen.no/en/aktuelt/risk-weights-under-the-irb-approach/id742309/</t>
  </si>
  <si>
    <t>NO.4RWS.1677</t>
  </si>
  <si>
    <t>The activation period for the measure, setting a 35% risk weight floor targeting asset bubbles in the corporate real estate sector, implemented due to systemic risks from high debt and falling CRE prices, remains unchanged, is extended for a minimum of 2 years due to persistent systemic risks.</t>
  </si>
  <si>
    <t>The intended measure comprises a floor for average risk weights of 20 % for Norwegian residential real estate exposures. The floor concerns the exposure-weighted average risk weight in the residential real estate portfolio. Where the exposure-weighted average risk weight is lower than the floor, the total risk-weighted assets (RWA) should be increased correspondingly. Each institution’s increase in risk-weighted assets would be the following: ∆RWA = max(0, 20% - RWRRE)*EADRRE. Where RWRRE and EADRRE are the exposure-weighted average risk weight and exposures at default, respectively, for the residential real estate portfolio. Norwegian residential real estate exposures should be understood as retail exposures collateralised by immovable property in Norway. The risk weight floor would be applicable for all Norwegian institutions with the relevant exposures and using the Internal Ratings Based Approach (IRB institutions). This includes one subsidiary whose parent is established in another Member State.</t>
  </si>
  <si>
    <t>The intended measure comprises a floor for average risk weights of 35 % for Norwegian commercial real estate exposures. The floor concerns the exposure weighted average risk weight in the commercial real estate portfolio. Where the exposure-weighted average risk weight is lower than the floor, the total risk weighted assets (RWA) should be increased correspondingly. Each institution’s increase in risk-weighted assets would be the following: ∆RWA = max(0, 35% - RWCRE )*EADCRE. Where RWCRE and EADCRE are the exposure-weighted average risk weight and exposures at default, respectively, for the commercial real estate portfolio. Norwegian commercial real estate exposures should be understood as corporate exposures collateralised by immovable property in Norway. The risk weight floors would be applicable for all Norwegian institutions using the Internal Ratings Based Approach (IRB institutions).</t>
  </si>
  <si>
    <t>The Finansdepartementet decided to extend the existing risk weight floor targeting asset bubbles in the residential real estate sector pursuant to Article 458 (10) of the CRR. A floor of 20% risk weights for Norwegian residential real estate exposures has been set. Should the exposure-weighted average risk weight be lower than the floor, the total risk-weighted assets should be increased correspondingly.</t>
  </si>
  <si>
    <t>NO.4RWS.1676</t>
  </si>
  <si>
    <t>The existing 20% risk weight floor targeting systemic risk in the residential property sector will be extended until 30 June 2025, and increased to 25% from 1 July 2025 to 31 December 2026, due to high housing prices and concentrated household debt.</t>
  </si>
  <si>
    <t>NO.LIQR.143</t>
  </si>
  <si>
    <t>LCR of at least 100%, with phase-in arrangement from 70% (end 2015) to 100% (end 2017). O-SIIs have to meet the 100% requirement from end 2015 onwards. In October 2016, the Ministry of Finance circulated a consultation document setting out a proposal by Finanstilsynet (FSA) on requirements for liquidity coverage in significant currencies.</t>
  </si>
  <si>
    <t>Art. 412 CRR</t>
  </si>
  <si>
    <t>https://www.regjeringen.no/no/aktuelt/nye-krav-til-likviditet-for-banker-mv/id2464218/</t>
  </si>
  <si>
    <t>NO.124C.244</t>
  </si>
  <si>
    <t>Higher risk weights (100%) and stricter criteria than in CRR for commercial real estate exposures of SA banks.</t>
  </si>
  <si>
    <t>Tighter requirements for residential mortgage lending models. Finanstilsynet estimates that the requirements for PD models, in combination with the LGD floor, will increase risk weights assigned to residential mortgage portfolios to around 20-25 per cent compared with previous levels of 10-15 per cent.</t>
  </si>
  <si>
    <t>https://www.finanstilsynet.no/en/news-archive/press-releases/2014/finanstilsynet-tightens-requirements-on-residential-mortgage-models/</t>
  </si>
  <si>
    <t>The Finansdepartementet decided to extend the existing risk weight floor targeting asset bubbles in the corporate real estate sector pursuant to Article 458 (10) of the CRR. A floor of 35% risk weights for Norwegian corporate real estate exposures has been set. Should the exposure-weighted average risk weight be lower than the floor, the total risk-weighted assets should be increased correspondingly.</t>
  </si>
  <si>
    <t>NO.124C.1550</t>
  </si>
  <si>
    <t>Risk weights of 100 per cent are applied for exposures secured by commercial immoverable property and 75 per cent for exposures secured by commerical immoverable property meeting the requirements for inclusion in the retail category. Exposures secured by agricultural immovable property, which is not considered residential immovable property, will be subject to the risk weight set out in article 126(1) CRR.</t>
  </si>
  <si>
    <t>Nå kan landbruket få rimeligere lån - regjeringen.no</t>
  </si>
  <si>
    <t>PL.124R.1397</t>
  </si>
  <si>
    <t>The Minister of Finance issued an extension of the current risk weight reduction measure. The measure reduces the risk weight applied to foreign currency mortgages secured by real estate properties from 150% to 100%,75% or 50% depending on the loan provisions and write-offs' share of the gross exposure.
According to the Regulation of the Minister of Finance announced on November 25, 2024, the aforementioned Regulation on Higher Risk Weights is repealed starting January 1, 2025.
According to the Regulation of the Minister of Finance announced on November 25, 2024, the aforementioned Regulation on Higher Risk Weights is repealed starting January 1, 2025.</t>
  </si>
  <si>
    <t>PL.124R.586</t>
  </si>
  <si>
    <t>https://nbp.pl/en/press-release-of-the-financial-stability-committee-after-its-meeting-on-macroprudential-supervision-3/
https://api.sejm.gov.pl/eli/acts/DU/2024/1723/text.pdf</t>
  </si>
  <si>
    <t>The introduction of 150% risk weight for retail mortgages where the currency of the loan was different from the currency of the borrower’s income. The work on the introduction of a measure was based on the Finanscial Stability Committees Resolution No 14/2017 from 13 January 2017 on the recommendation on the restructuring of the FX loan housing portfolio.
According to the Regulation of the Minister of Finance announced on November 25, 2024, the aforementioned Regulation on Higher Risk Weights is repealed starting January 1, 2025.</t>
  </si>
  <si>
    <t>http://prawo.sejm.gov.pl/isap.nsf/DocDetails.xsp?id=WDU20170001068
https://nbp.pl/en/press-release-of-the-financial-stability-committee-after-its-meeting-on-macroprudential-supervision-3/
https://api.sejm.gov.pl/eli/acts/DU/2024/1723/text.pdf</t>
  </si>
  <si>
    <t>PL.OTHR.156</t>
  </si>
  <si>
    <t>For any new loans the currency of the loan and the income out of which the loan will be repaid should be the same. In the case of customers (or households) receiving income in several currencies, the bank should ensure that the currency of the loan and the currency in which the borrower (or household) obtains the highest income in his total income considered for assessing his credit capacity are the same; in the case of other currencies, the bank should assume a possible depreciation by 20%.</t>
  </si>
  <si>
    <t>https://www.knf.gov.pl/knf/pl/komponenty/img/Rekomendacja_S_18_06_2013_34880._34880.pdf
https://www.knf.gov.pl/knf/pl/komponenty/img/Nowelizacja_Rekomendacji_S_3_12_2019_67953.pdf</t>
  </si>
  <si>
    <t>PL.LIQR.153</t>
  </si>
  <si>
    <t>M1 (short-term liquidity ratio): liquidity reserves - unstable external funds&gt;=0
M2 (short-term liquidity ratio):liquidity reserves/unstable external funds&gt;=1
M3 (long-term liquidity ratio): own funds/illiquid assets&gt;=1
M4 (long-term liquidity ratio): (own funds+stable external funds)/(illiquid assets+assets with limited liquidity)&gt;=1
M1 and M2 were automatically replaced by  a fully implemented LCR on 01.01.2018.</t>
  </si>
  <si>
    <t>http://www.knf.gov.pl/Images/Uchwala%20nr%20386_tcm75-9583.pdf</t>
  </si>
  <si>
    <t>PL.124R.1611</t>
  </si>
  <si>
    <t>The notified measure is aimed at repealing the regulation of the Minister of Development and Finance of 25 May 2017 on higher risk weights for exposures secured by mortgages on immovable properties. The repeal of the regulation will result in application of the standard risk weights specified in the CRR III.</t>
  </si>
  <si>
    <t>PL.124C.587</t>
  </si>
  <si>
    <t>The introduction of 100% risk weight for commercial real estate exposures. The work on the introduction of a measure was based on the Financial Stability Committee’s Resolution No 14/2017 from 13 January 2017 on the recommendation on the restructuring of the FX loan housing portfolio.
According to the Regulation of the Minister of Finance announced on November 25, 2024, the aforementioned Regulation on Higher Risk Weights is repealed starting January 1, 2025.</t>
  </si>
  <si>
    <t>PL.124C.906</t>
  </si>
  <si>
    <t>On 15th October the Ministry of Finance has issued regulation on reducing the risk weight from 100% to 50% for exposures secured on commercial real estate used by the borrower to conduct his own business and do not generate income from rent or profit from their sale. For other commercial properties, the 100% risk weight will continue to apply. The work on the introduction of a measure was based on the Financial Stability Committee’s Resolution No 38/2020 from 13 July 2020 on the recommendation on the risk weights for exposures secured on commercial real estates. The measure became active on 16 October 2020. 100% risk weight for other exposures secured by commercial real estate is still aplicable.
According to the Regulation of the Minister of Finance announced on November 25, 2024, the aforementioned Regulation on Higher Risk Weights is repealed starting January 1, 2025.</t>
  </si>
  <si>
    <t>PL.OTHR.360</t>
  </si>
  <si>
    <t>Resolution 14/2017 on the recommendation on the restructuring of the FX housing loans portfolio. The Financial Stability Committee recommends the minister competent for financial institutions to (i) increase risk weight for exposures secured by mortgages on immovable property (ii) increase minimum LGD for exposures secured by mortgages on residential property, the purchase of which was financed by an FX loan (iii) introduce changes to the operating design of the Borrowers' Support Fund (iv) work out appropriate solutions mitigating potential excessive tax burden for borrowers and lenders (v) impose a systemic risk buffer of 3% to all exposures on the territory of the Republic of Poland.
According to the Regulation of the Minister of Finance announced on November 25, 2024, the aforementioned Regulation on Higher Risk Weights is repealed starting January 1, 2025. The repeal of the regulation was driven by amendments to Regulation (EU) No 575/2013 regarding credit risk requirements, credit valuation adjustment risk, operational risk, market risk, and the minimum capital threshold (CRR III), which apply from January 1, 2025. The objectives of the regulations of the Regulation of the Minister of Development and Finance of May 25, 2017 nowadays may be achieved in the new legal state through direct application of the CRR provisions. For this reason, the FSC issued the Resolution of September 20, 2024 and recommended to the Minister of Finance to repeal the Regulation of the Minister of Development and Finance of May 25, 2017. FSC also recommended the PFSA to update the methodology for determining additional capital requirements for banks in terms of own funds and appropriately taking into account the possibility of costs arising from the materialization of legal risk related to the portfolio of foreign currency housing loans.</t>
  </si>
  <si>
    <t>PL.124R.1300</t>
  </si>
  <si>
    <t>The Minister of Finance issued the amendment to Regulation on higher risk weights for exposures secured by a mortgage on immovable property.
According to the Regulation of the Minister of Finance announced on November 25, 2024, the aforementioned Regulation on Higher Risk Weights is repealed starting January 1, 2025.</t>
  </si>
  <si>
    <t>https://isap.sejm.gov.pl/isap.nsf/download.xsp/WDU20220000687/O/D20220687.pdf
https://nbp.pl/en/press-release-of-the-financial-stability-committee-after-its-meeting-on-macroprudential-supervision-3/
https://api.sejm.gov.pl/eli/acts/DU/2024/1723/text.pdf</t>
  </si>
  <si>
    <t>RO.124C.222</t>
  </si>
  <si>
    <t>Higher risk weights (100%) and stricter criteria than in CRR for commercial real estate exposures of SA banks. The measure has been introduced in the national legislation starting 1/1/2007 and has been maintained by exercising the national option under CRR. Compulsory reciprocation under Art. 124(5) CRR</t>
  </si>
  <si>
    <t>RO.OTHR.455</t>
  </si>
  <si>
    <t>The measures aim at introducing two additional criteria for non-bank financial institutions engaged in lending (NBFIs) to become subject to the NBR’s prudential supervision (listing in the Special Register) depending on (i) the volume of new consumer loans (exceeding lei 75 million over the past three quarters), in order to capture the activity of creditors focused on granting short- and very short-term loans, and on (ii) the average interest rates applied, which show the potential of building-up excessive risks at NBFI level. Regarding the second criterion, NBFIs will be subject to NBR supervision if the levels are exceeded. In addition, for NBFIs granting less prudent consumer loans at annual percentage rate of charge (APRC) levels above those permitted, requirements for building up additional capital were introduced at two thirds of the loan amount (1000% risk weights). The requirements are only applicable to loans granted after 1 October 2017.
Criteria on APRC level for becoming subject to NBR supervision:
• 	APRC level for lei-denominated loans
    o 	200%, for maturity up to 15 days
    o 	100%, for maturity between 16 and 90 days
    o 	10 x NBR's Lombard rate, for maturity greater than 90 days
• 	APRC level for foreign currency-denominated loans
    o 	133%, for maturity up to 15 days
    o 	67%, for maturity between 16 and 90 days
    o 	6.7 x NBR's Lombard rate, for maturity greater than 90 days</t>
  </si>
  <si>
    <t>SK.OTHR.166</t>
  </si>
  <si>
    <t>Recommendation: Maintain a prudential approach to loan refinancing with material  increase in principal.
• LTV ratio and maturity limits should continue to be met in the case of top-up loans.
• The customer's income should be reassessed and the debt service-to-income ratio limit
should continue to be met.</t>
  </si>
  <si>
    <t>Replaced by a decree. See measure: SK.LTVR.310 and SK.DSTI.309</t>
  </si>
  <si>
    <t>SK.OTHR.167</t>
  </si>
  <si>
    <t>Maintain a prudent approach to lending through intermediaries (mortgage brokers). Ensure that the share of these loans does not create pressure to loosen lending standards. Maintain a diverse pool of intermediaries.</t>
  </si>
  <si>
    <t>SI.PIL2.171</t>
  </si>
  <si>
    <t>The cap on deposit interest rates measure is implemented as part of the internal capital adequacy assessment process-supervisory risk evaluation process (ICAAP-SREP) process and defines a capital add-on for new deposits by the private non-banking sector where the deposit interest rate exceeds the ceiling set by the instrument.</t>
  </si>
  <si>
    <t>SI.124R.172</t>
  </si>
  <si>
    <t>Applying stricter criteria than those set out in Article 125(2) CRR on exposures fully and completely secured by mortgages on residential property: for the purpose of Article 125(2d), the LTV ratio is set at 60%. Continuation of an existing measure. Exposures secured on commercial immovable property retain a 50% risk weight and are thus unchanged.</t>
  </si>
  <si>
    <t>SI.LTDR.170</t>
  </si>
  <si>
    <t>Minimum requirement on changes in loans to the non-banking sector in relation to changes in deposits from the non-banking sector (so-callled Gross Loans to Deposits Flows ratio). Ratio has to be positve for the banks with a positive annual increase in deposits.</t>
  </si>
  <si>
    <t>SI.LTDR.403</t>
  </si>
  <si>
    <t>The measure taken, eases the existing macroprudential instrument GLTDF, introduced in June 2014, by changing it to macroprudential recommendation . The instrument refers to (1) the recommendation for the minimum GLTDF ratio (the Gross Loans To Deposits Flows Ratio) of at least 0% in case of positive annual increase in deposits by non-banking sector, (2) the recommendation for the ratio of liquid assets to short term liabilities with residual maturity up to 30 days, to have the value of at least one and (3) preserving the existing daily reporting of liquidity items.</t>
  </si>
  <si>
    <t>A credit institution-specific minimum level of 25 % for the average risk weight on Swedish housing loans applicable to credit institutions that have adopted the Internal Ratings Based Approach.
From 31 December 2020, pursuant to Article 458 (9) of the CRR, Finansinspektionen decided to extend the period of application of this measure by one year.</t>
  </si>
  <si>
    <t>https://www.fi.se/en/published/important-pms-and-decisions/2018/changed-method-for-the-application-of-the-risk-weight-floor-for-swedish-mortgages/
https://www.fi.se/en/published/important-pms-and-decisions/2020/fi-notifies-the-eu-regarding-extension-of-the-existing-risk-weight-floor-for-swedish-mortgages/</t>
  </si>
  <si>
    <t>SE.RIWO.356</t>
  </si>
  <si>
    <t>Increase in risk weights for corporate exposures through supervisory methods for banks' internal models used for corporate exposures: (i) The banks' estimates of probability of default should anticipate a larger proportion of economic downturns with higher default rates. More specifically, every fifth year should be considered a "downturn year". (ii) A maturity floor of 2.5 years is implemented under Pillar 2 for banks that use the advanced IRB approach. The maturity floor is not anymore applicable since 29 december 2020.</t>
  </si>
  <si>
    <t>http://www.fi.se/en/published/news/2016/new-methods-for-banks-risk-weights-and-capital-requirements-decided/</t>
  </si>
  <si>
    <t>SE.124C.230</t>
  </si>
  <si>
    <t>Continuation of practice since 2007 to apply a risk weight of 100% for exposures secured by mortgages on commercial immovable property.</t>
  </si>
  <si>
    <t>Finansinspektionen has decided that a credit institution-specific minimum level of 25% for the average risk weight on Swedish housing loans is applicable to credit institutions that have adopted the Internal Ratings Based Approach.</t>
  </si>
  <si>
    <t>A risk weight floor of 25% (previously 15%) for Swedish mortgage loans by IRB banks.</t>
  </si>
  <si>
    <t>SE.PIL2.177</t>
  </si>
  <si>
    <t>The 4 largest banking groups are subject to a Pillar II capital add-on of 2%.</t>
  </si>
  <si>
    <t>SE.OTHR.176</t>
  </si>
  <si>
    <t>Increased transparency in capital requirement for Swedish banks (disclosure of actual capital requirements for the ten largest Swedish banks and credit institutions, including Pillar 2).</t>
  </si>
  <si>
    <t>SE.LIQR.173</t>
  </si>
  <si>
    <t>LCR&gt;100 % in USD, EUR and total.</t>
  </si>
  <si>
    <t>http://www.fi.se/en/our-registers/search-fffs/2012/20126/</t>
  </si>
  <si>
    <t>Finansinspektionen, in its capacity as the designated authority for the purpose of Article 458 of Regulation (EU) No 575/2013, intends to implement a national measure regarding risk weights for targeting asset bubbles in the residential property and commercial immovable property sector (Article 458(2)(d)(iv) of Regulation (EU) NO 575/2013). The proposed measure is a risk weight floor of 35% for certain corporate exposures secured by commercial properties and a risk weight floor of 25% for certain corporate exposures secured by residential properties. The requirement is applicable to credit institutions that use the Internal Ratings Based (IRB) approach for calculating regulatory capital requirements and aims to deal with the systemic risks that are linked to the overheated real estate market in Sweden.</t>
  </si>
  <si>
    <t>Finansinspektionen intends to extend the period of application for its current stricter national measure of a 25% risk weight floor for credit institutions using the internal ratings based (IRB) approach for calculating regulatory capital requirements applicable to retail exposures in Sweden secured by immovable property. The extension would run for two years.</t>
  </si>
  <si>
    <t>UK.LEVR.182</t>
  </si>
  <si>
    <t>The FPC has directed the PRA to implement a set of leverage ratio requirements and buffers for PRA-regulated banks, building societies and investment firms. Includes: (i) minimum leverage ratio requirements of 3%, (ii) a supplementary leverage ratio buffer (for systemically important firms) set at 35% of the corresponnding risk-weighted systemic buffer rates for affected firms, and (iii) a countercyclical leverage ratio buffer, expected to be set at 35% of the risk-weighted countercyclical capital buffer rate.</t>
  </si>
  <si>
    <t>The FPC agreed to revoke its existing Direction to the PRA on the UL leverage ratio framework, in order to allow the PRA to implement the FPC's Recommendation with immediate effect.</t>
  </si>
  <si>
    <t>http://www.bankofengland.co.uk/financialstability/Documents/fpc/fs_lrr.pdf
https://www.bankofengland.co.uk/-/media/boe/files/record/2016/financial-policy-committee-meeting-august-2016.pdf?la=en&amp;hash=1CF948A86866F6A39BBCA68047A35FCDF2BC07A3</t>
  </si>
  <si>
    <t>UK.124C.184</t>
  </si>
  <si>
    <t>Application of stricter criteria for the eligibility of the 50% risk weight exposures fully and completely secured by mortgages on commercial real estate. The stricter criterion requires firms to determine whether the annual average loss rates for lending secured by mortgage on commercial real estate in the UK did not exceed 0.5% over a representative period.</t>
  </si>
  <si>
    <t>http://media.fshandbook.info/Handbook/Credit-Riskv2_PRA_20141027.pdf</t>
  </si>
  <si>
    <t>UK.LEVR.385</t>
  </si>
  <si>
    <t>The UK's leverage ratio has been amended to: (i) 	exclude from the calculation of the total exposure measure those assets constituting claims on central banks, where they are matched by deposits accepted by the firm that are denominated in the same currency and of identical or longer maturity; (ii) 	require a minimum leverage ratio of 3.25%; and, (iii) 	align reporting and disclosure requirements under the UK leverage ratio frameworwith these changes. Central bank claims for these purposes include reserves held by a firm at the central bank, banknotes and coins constituting legal currency in the jurisdiction of the central bank, and assets representing debt claims on the central bank with a maturity of no longer than three months.</t>
  </si>
  <si>
    <t>http://www.bankofengland.co.uk/pra/Pages/publications/ps/2017/ps2117.aspx</t>
  </si>
  <si>
    <t>UK.124C.493</t>
  </si>
  <si>
    <t>An institution may only treat exposures as fully and completely secured by mortgages on commercial immovable property, located in a jurisdiction that is not an EEA State as fully and completely secured for the purposes of Article 126(1) of Regulation (EU) No 575/2013 only if all of the following conditions are met:
(1) annual average losses stemming from lending secured by mortgages on commercial property located in that jurisdiction did not exceed 0.5% of the exposure value over a representative period where; 
(a) there is sufficient evidence that the data used to determine this loss level are of the same or better quality as the data required to be published under Article 101(3) of Regulation (EU) No 575/2013; (b) it is reasonable to rely on such data; 
(2) the risk-weight that would be applied to that exposure or part of an exposure by the relevant supervisory authority in that jurisdiction is 50% or less.
A representative period shall be a time horizon of sufficient length and which includes a mix of good and bad years.</t>
  </si>
  <si>
    <t>http://www.eba.europa.eu/supervisory-convergence/supervisory-disclosure/rules-and-guidance</t>
  </si>
  <si>
    <t xml:space="preserve">Intermediary objective: </t>
  </si>
  <si>
    <t>One of the five intermediate objetives as defined in the ESRB Recommendation of 4 April 2013 (ESRB/2013/1):</t>
  </si>
  <si>
    <t>- Credit growth and leverage</t>
  </si>
  <si>
    <t>- Maturity mismatch and market illiquidity</t>
  </si>
  <si>
    <t>- Exposure concentration</t>
  </si>
  <si>
    <t>- Misaligned incentives</t>
  </si>
  <si>
    <t>- Resilience of financial infrastructures</t>
  </si>
  <si>
    <t xml:space="preserve">AIFMD: </t>
  </si>
  <si>
    <t>Alternative Investment Fund Managers Directive</t>
  </si>
  <si>
    <t xml:space="preserve">CRD: </t>
  </si>
  <si>
    <t>Capital Requirements Directive</t>
  </si>
  <si>
    <t xml:space="preserve">CRR: </t>
  </si>
  <si>
    <t>Capital Requirements Regulation</t>
  </si>
  <si>
    <t>Lists</t>
  </si>
  <si>
    <t>Measure</t>
  </si>
  <si>
    <t>AT</t>
  </si>
  <si>
    <t>Capital conservation buffer (CCoB)</t>
  </si>
  <si>
    <t>BE</t>
  </si>
  <si>
    <t>Countercyclical capital buffer (CCyB)</t>
  </si>
  <si>
    <t>BG</t>
  </si>
  <si>
    <t>HR</t>
  </si>
  <si>
    <t>Global systemically important institutions (G-SII) buffer</t>
  </si>
  <si>
    <t>CY</t>
  </si>
  <si>
    <t>CZ</t>
  </si>
  <si>
    <t>DK</t>
  </si>
  <si>
    <t>EE</t>
  </si>
  <si>
    <t>FI</t>
  </si>
  <si>
    <t>FR</t>
  </si>
  <si>
    <t>DE</t>
  </si>
  <si>
    <t>GR</t>
  </si>
  <si>
    <t>HU</t>
  </si>
  <si>
    <t>Other systemically important institutions (O-SII) buffer</t>
  </si>
  <si>
    <t>IE</t>
  </si>
  <si>
    <t>IT</t>
  </si>
  <si>
    <t>LV</t>
  </si>
  <si>
    <t>LT</t>
  </si>
  <si>
    <t>Systemic risk buffer (SRB)</t>
  </si>
  <si>
    <t>LU</t>
  </si>
  <si>
    <t>MT</t>
  </si>
  <si>
    <t>NL</t>
  </si>
  <si>
    <t>NO</t>
  </si>
  <si>
    <t>PL</t>
  </si>
  <si>
    <t>PT</t>
  </si>
  <si>
    <t>RO</t>
  </si>
  <si>
    <t>SK</t>
  </si>
  <si>
    <t>SI</t>
  </si>
  <si>
    <t>ES</t>
  </si>
  <si>
    <t>SE</t>
  </si>
  <si>
    <t>UK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</si>
</sst>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mm\ yyyy"/>
    <numFmt numFmtId="165" formatCode="d\ mmm\ yyyy"/>
    <numFmt numFmtId="166" formatCode="dd/mm/yyyy;@"/>
  </numFmts>
  <fonts count="15" x14ac:knownFonts="1">
    <font>
      <sz val="11"/>
      <color theme="1"/>
      <name val="Calibri"/>
      <family val="2"/>
      <scheme val="minor"/>
    </font>
    <font>
      <u/>
      <sz val="11"/>
      <color theme="10"/>
      <name val="Calibri"/>
      <family val="2"/>
      <scheme val="minor"/>
    </font>
    <font>
      <sz val="11"/>
      <name val="Calibri"/>
      <family val="2"/>
      <scheme val="minor"/>
    </font>
    <font>
      <sz val="10"/>
      <color theme="1"/>
      <name val="Calibri"/>
      <family val="2"/>
      <scheme val="minor"/>
    </font>
    <font>
      <b/>
      <sz val="10"/>
      <color theme="1"/>
      <name val="Calibri"/>
      <family val="2"/>
      <scheme val="minor"/>
    </font>
    <font>
      <sz val="11"/>
      <color rgb="FFFF0000"/>
      <name val="Calibri"/>
      <family val="2"/>
      <scheme val="minor"/>
    </font>
    <font>
      <b/>
      <sz val="11"/>
      <color theme="1"/>
      <name val="Calibri"/>
      <family val="2"/>
      <scheme val="minor"/>
    </font>
    <font>
      <b/>
      <sz val="16"/>
      <color theme="3"/>
      <name val="Calibri"/>
      <family val="2"/>
      <scheme val="minor"/>
    </font>
    <font>
      <b/>
      <u/>
      <sz val="11"/>
      <color theme="10"/>
      <name val="Calibri"/>
      <family val="2"/>
      <scheme val="minor"/>
    </font>
    <font>
      <u/>
      <sz val="10"/>
      <color theme="10"/>
      <name val="Calibri"/>
      <family val="2"/>
      <scheme val="minor"/>
    </font>
    <font>
      <i/>
      <sz val="10"/>
      <color theme="1"/>
      <name val="Calibri"/>
      <family val="2"/>
      <scheme val="minor"/>
    </font>
    <font>
      <i/>
      <sz val="11"/>
      <color theme="1"/>
      <name val="Calibri"/>
      <family val="2"/>
      <scheme val="minor"/>
    </font>
    <font>
      <b/>
      <sz val="16"/>
      <color theme="5" tint="-0.499984740745262"/>
      <name val="Calibri"/>
      <family val="2"/>
      <scheme val="minor"/>
    </font>
    <font>
      <b/>
      <sz val="10"/>
      <color theme="0"/>
      <name val="Calibri"/>
      <family val="2"/>
      <scheme val="minor"/>
    </font>
    <font>
      <b/>
      <sz val="11"/>
      <color theme="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5" tint="-0.499984740745262"/>
        <bgColor indexed="64"/>
      </patternFill>
    </fill>
    <fill>
      <patternFill patternType="solid">
        <fgColor theme="5" tint="-0.249977111117893"/>
        <bgColor indexed="64"/>
      </patternFill>
    </fill>
    <fill>
      <patternFill patternType="solid">
        <fgColor theme="1" tint="4.9989318521683403E-2"/>
        <bgColor indexed="64"/>
      </patternFill>
    </fill>
    <fill>
      <patternFill patternType="solid">
        <fgColor theme="1"/>
        <bgColor indexed="64"/>
      </patternFill>
    </fill>
  </fills>
  <borders count="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theme="5" tint="0.39997558519241921"/>
      </bottom>
      <diagonal/>
    </border>
    <border>
      <left/>
      <right/>
      <top/>
      <bottom style="thin">
        <color indexed="64"/>
      </bottom>
      <diagonal/>
    </border>
    <border>
      <left/>
      <right style="thin">
        <color indexed="64"/>
      </right>
      <top style="thin">
        <color indexed="64"/>
      </top>
      <bottom style="thin">
        <color theme="5" tint="0.39997558519241921"/>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xf numFmtId="0" fontId="0" fillId="2" borderId="0" xfId="0" applyFill="1"/>
    <xf numFmtId="0" fontId="6" fillId="2" borderId="0" xfId="0" applyFont="1" applyFill="1" applyAlignment="1">
      <alignment horizontal="right"/>
    </xf>
    <xf numFmtId="164" fontId="6" fillId="2" borderId="0" xfId="0" applyNumberFormat="1" applyFont="1" applyFill="1" applyAlignment="1">
      <alignment horizontal="right"/>
    </xf>
    <xf numFmtId="0" fontId="1" fillId="2" borderId="0" xfId="1" applyFill="1" applyAlignment="1">
      <alignment horizontal="left" indent="2"/>
    </xf>
    <xf numFmtId="0" fontId="1" fillId="0" borderId="0" xfId="1"/>
    <xf numFmtId="0" fontId="9" fillId="2" borderId="0" xfId="1" applyFont="1" applyFill="1" applyAlignment="1">
      <alignment horizontal="left" vertical="top"/>
    </xf>
    <xf numFmtId="0" fontId="3" fillId="2" borderId="0" xfId="0" applyFont="1" applyFill="1" applyAlignment="1">
      <alignment horizontal="left" vertical="top"/>
    </xf>
    <xf numFmtId="0" fontId="7" fillId="2" borderId="0" xfId="0" applyFont="1" applyFill="1"/>
    <xf numFmtId="0" fontId="3" fillId="0" borderId="0" xfId="0" applyFont="1" applyAlignment="1">
      <alignment horizontal="left" vertical="top"/>
    </xf>
    <xf numFmtId="0" fontId="3" fillId="0" borderId="0" xfId="0" applyFont="1"/>
    <xf numFmtId="0" fontId="0" fillId="0" borderId="0" xfId="0" applyAlignment="1">
      <alignment wrapText="1"/>
    </xf>
    <xf numFmtId="0" fontId="2" fillId="0" borderId="0" xfId="0" applyFont="1" applyAlignment="1">
      <alignment horizontal="left" vertical="top" wrapText="1"/>
    </xf>
    <xf numFmtId="0" fontId="3" fillId="2" borderId="0" xfId="0" applyFont="1" applyFill="1" applyAlignment="1">
      <alignment wrapText="1"/>
    </xf>
    <xf numFmtId="0" fontId="3" fillId="2" borderId="0" xfId="0" applyFont="1" applyFill="1"/>
    <xf numFmtId="165" fontId="5" fillId="2" borderId="0" xfId="0" applyNumberFormat="1" applyFont="1" applyFill="1" applyAlignment="1">
      <alignment horizontal="left"/>
    </xf>
    <xf numFmtId="0" fontId="3" fillId="0" borderId="0" xfId="0" applyFont="1" applyAlignment="1">
      <alignment horizontal="left" vertical="top" wrapText="1"/>
    </xf>
    <xf numFmtId="0" fontId="3" fillId="2" borderId="0" xfId="0" applyFont="1" applyFill="1" applyAlignment="1">
      <alignment horizontal="right"/>
    </xf>
    <xf numFmtId="0" fontId="3" fillId="2" borderId="0" xfId="0" quotePrefix="1" applyFont="1" applyFill="1" applyAlignment="1">
      <alignment horizontal="left" indent="2"/>
    </xf>
    <xf numFmtId="0" fontId="6" fillId="0" borderId="0" xfId="0" applyFont="1"/>
    <xf numFmtId="0" fontId="4" fillId="2" borderId="0" xfId="0" applyFont="1" applyFill="1" applyAlignment="1">
      <alignment horizontal="left" vertical="top"/>
    </xf>
    <xf numFmtId="0" fontId="3" fillId="2" borderId="0" xfId="0" quotePrefix="1" applyFont="1" applyFill="1" applyAlignment="1">
      <alignment horizontal="left"/>
    </xf>
    <xf numFmtId="165" fontId="3" fillId="0" borderId="0" xfId="0" applyNumberFormat="1" applyFont="1" applyAlignment="1">
      <alignment horizontal="left" vertical="top" wrapText="1"/>
    </xf>
    <xf numFmtId="0" fontId="0" fillId="2" borderId="0" xfId="0" applyFill="1" applyAlignment="1">
      <alignment horizontal="left" indent="1"/>
    </xf>
    <xf numFmtId="0" fontId="0" fillId="2" borderId="0" xfId="0" applyFill="1" applyAlignment="1">
      <alignment horizontal="left" indent="2"/>
    </xf>
    <xf numFmtId="0" fontId="8" fillId="2" borderId="0" xfId="1" applyFont="1" applyFill="1"/>
    <xf numFmtId="0" fontId="10" fillId="2" borderId="0" xfId="0" applyFont="1" applyFill="1" applyAlignment="1">
      <alignment horizontal="right"/>
    </xf>
    <xf numFmtId="0" fontId="11" fillId="2" borderId="0" xfId="0" applyFont="1" applyFill="1"/>
    <xf numFmtId="0" fontId="10" fillId="2" borderId="0" xfId="0" applyFont="1" applyFill="1"/>
    <xf numFmtId="0" fontId="1" fillId="2" borderId="0" xfId="1" applyFill="1"/>
    <xf numFmtId="166" fontId="3" fillId="0" borderId="0" xfId="0" applyNumberFormat="1" applyFont="1" applyAlignment="1">
      <alignment horizontal="left" vertical="top" wrapText="1"/>
    </xf>
    <xf numFmtId="166" fontId="3" fillId="0" borderId="0" xfId="0" applyNumberFormat="1" applyFont="1" applyAlignment="1">
      <alignment horizontal="left" vertical="top"/>
    </xf>
    <xf numFmtId="0" fontId="8" fillId="2" borderId="0" xfId="1" applyFont="1" applyFill="1" applyAlignment="1">
      <alignment horizontal="left"/>
    </xf>
    <xf numFmtId="14" fontId="0" fillId="2" borderId="0" xfId="0" applyNumberFormat="1" applyFill="1"/>
    <xf numFmtId="14" fontId="1" fillId="2" borderId="0" xfId="1" applyNumberFormat="1" applyFill="1"/>
    <xf numFmtId="0" fontId="9" fillId="2" borderId="0" xfId="1" applyFont="1" applyFill="1"/>
    <xf numFmtId="166" fontId="3" fillId="2" borderId="0" xfId="0" applyNumberFormat="1" applyFont="1" applyFill="1" applyAlignment="1">
      <alignment horizontal="left"/>
    </xf>
    <xf numFmtId="165" fontId="3" fillId="2" borderId="0" xfId="0" applyNumberFormat="1" applyFont="1" applyFill="1" applyAlignment="1">
      <alignment wrapText="1"/>
    </xf>
    <xf numFmtId="0" fontId="9" fillId="2" borderId="0" xfId="1" applyFont="1" applyFill="1" applyAlignment="1">
      <alignment wrapText="1"/>
    </xf>
    <xf numFmtId="0" fontId="12" fillId="2" borderId="0" xfId="0" applyFont="1" applyFill="1"/>
    <xf numFmtId="0" fontId="4" fillId="3" borderId="0" xfId="0" applyFont="1" applyFill="1" applyAlignment="1">
      <alignment wrapText="1"/>
    </xf>
    <xf numFmtId="166" fontId="4" fillId="3" borderId="0" xfId="0" applyNumberFormat="1" applyFont="1" applyFill="1" applyAlignment="1">
      <alignment horizontal="left"/>
    </xf>
    <xf numFmtId="165" fontId="4" fillId="3" borderId="0" xfId="0" applyNumberFormat="1" applyFont="1" applyFill="1" applyAlignment="1">
      <alignment wrapText="1"/>
    </xf>
    <xf numFmtId="0" fontId="3" fillId="0" borderId="0" xfId="0" applyFont="1" applyAlignment="1">
      <alignment wrapText="1"/>
    </xf>
    <xf numFmtId="166" fontId="0" fillId="0" borderId="0" xfId="0" applyNumberFormat="1" applyAlignment="1">
      <alignment horizontal="left"/>
    </xf>
    <xf numFmtId="166" fontId="3" fillId="2" borderId="0" xfId="0" applyNumberFormat="1" applyFont="1" applyFill="1" applyAlignment="1">
      <alignment wrapText="1"/>
    </xf>
    <xf numFmtId="166" fontId="4" fillId="3" borderId="0" xfId="0" applyNumberFormat="1" applyFont="1" applyFill="1" applyAlignment="1">
      <alignment wrapText="1"/>
    </xf>
    <xf numFmtId="0" fontId="9" fillId="2" borderId="0" xfId="1" applyFont="1" applyFill="1" applyAlignment="1"/>
    <xf numFmtId="0" fontId="0" fillId="2" borderId="0" xfId="0" applyFill="1" applyAlignment="1">
      <alignment wrapText="1"/>
    </xf>
    <xf numFmtId="0" fontId="12" fillId="2" borderId="0" xfId="0" applyFont="1" applyFill="1" applyAlignment="1"/>
    <xf numFmtId="0" fontId="13" fillId="4" borderId="4" xfId="0" applyFont="1" applyFill="1" applyBorder="1" applyAlignment="1">
      <alignment wrapText="1"/>
    </xf>
    <xf numFmtId="0" fontId="13" fillId="4" borderId="6" xfId="0" applyFont="1" applyFill="1" applyBorder="1" applyAlignment="1">
      <alignment wrapText="1"/>
    </xf>
    <xf numFmtId="0" fontId="1" fillId="0" borderId="0" xfId="1" applyAlignment="1">
      <alignment wrapText="1"/>
    </xf>
    <xf numFmtId="165" fontId="13" fillId="5" borderId="7" xfId="0" applyNumberFormat="1" applyFont="1" applyFill="1" applyBorder="1" applyAlignment="1">
      <alignment wrapText="1"/>
    </xf>
    <xf numFmtId="0" fontId="0" fillId="0" borderId="2" xfId="0" applyBorder="1"/>
    <xf numFmtId="0" fontId="0" fillId="0" borderId="3" xfId="0" applyBorder="1"/>
    <xf numFmtId="166" fontId="13" fillId="5" borderId="7" xfId="0" applyNumberFormat="1" applyFont="1" applyFill="1" applyBorder="1" applyAlignment="1">
      <alignment horizontal="left"/>
    </xf>
    <xf numFmtId="0" fontId="13" fillId="5" borderId="7" xfId="0" applyFont="1" applyFill="1" applyBorder="1" applyAlignment="1">
      <alignment wrapText="1"/>
    </xf>
    <xf numFmtId="166" fontId="13" fillId="5" borderId="1" xfId="0" applyNumberFormat="1" applyFont="1" applyFill="1" applyBorder="1" applyAlignment="1">
      <alignment horizontal="left"/>
    </xf>
    <xf numFmtId="0" fontId="0" fillId="0" borderId="2" xfId="0" applyBorder="1" applyAlignment="1">
      <alignment wrapText="1"/>
    </xf>
    <xf numFmtId="0" fontId="0" fillId="0" borderId="3" xfId="0" applyBorder="1" applyAlignment="1">
      <alignment wrapText="1"/>
    </xf>
    <xf numFmtId="0" fontId="14" fillId="6" borderId="5" xfId="0" applyFont="1" applyFill="1" applyBorder="1" applyAlignment="1">
      <alignment wrapText="1"/>
    </xf>
    <xf numFmtId="0" fontId="0" fillId="0" borderId="5" xfId="0" applyBorder="1" applyAlignment="1">
      <alignment wrapText="1"/>
    </xf>
  </cellXfs>
  <cellStyles count="2">
    <cellStyle name="Hyperlink" xfId="1" builtinId="8"/>
    <cellStyle name="Normal" xfId="0" builtinId="0"/>
  </cellStyles>
  <dxfs count="189">
    <dxf>
      <font>
        <strike val="0"/>
        <condense val="0"/>
        <extend val="0"/>
        <outline val="0"/>
        <shadow val="0"/>
        <vertAlign val="baseline"/>
        <sz val="10"/>
        <color auto="1"/>
        <name val="Calibri"/>
        <scheme val="minor"/>
      </font>
      <fill>
        <patternFill>
          <fgColor indexed="64"/>
          <bgColor indexed="65"/>
        </patternFill>
      </fill>
      <alignment horizontal="left" vertical="top" wrapText="1"/>
    </dxf>
    <dxf>
      <font>
        <strike val="0"/>
        <condense val="0"/>
        <extend val="0"/>
        <outline val="0"/>
        <shadow val="0"/>
        <vertAlign val="baseline"/>
        <sz val="10"/>
        <color auto="1"/>
        <name val="Calibri"/>
        <scheme val="minor"/>
      </font>
      <fill>
        <patternFill>
          <fgColor indexed="64"/>
          <bgColor indexed="65"/>
        </patternFill>
      </fill>
      <alignment horizontal="left" vertical="top" wrapText="1"/>
    </dxf>
    <dxf>
      <font>
        <strike val="0"/>
        <condense val="0"/>
        <extend val="0"/>
        <outline val="0"/>
        <shadow val="0"/>
        <vertAlign val="baseline"/>
        <sz val="10"/>
        <color auto="1"/>
        <name val="Calibri"/>
        <scheme val="minor"/>
      </font>
      <fill>
        <patternFill>
          <fgColor indexed="64"/>
          <bgColor indexed="65"/>
        </patternFill>
      </fill>
      <alignment horizontal="left" vertical="top" wrapText="1"/>
    </dxf>
    <dxf>
      <font>
        <strike val="0"/>
        <condense val="0"/>
        <extend val="0"/>
        <outline val="0"/>
        <shadow val="0"/>
        <u/>
        <vertAlign val="baseline"/>
        <sz val="10"/>
        <color auto="1"/>
        <name val="Calibri"/>
        <scheme val="minor"/>
      </font>
      <numFmt numFmtId="0" formatCode="General"/>
      <fill>
        <patternFill>
          <fgColor indexed="64"/>
          <bgColor indexed="65"/>
        </patternFill>
      </fill>
      <alignment horizontal="left" vertical="top" wrapText="1"/>
    </dxf>
    <dxf>
      <font>
        <strike val="0"/>
        <condense val="0"/>
        <extend val="0"/>
        <outline val="0"/>
        <shadow val="0"/>
        <vertAlign val="baseline"/>
        <sz val="10"/>
        <color auto="1"/>
        <name val="Calibri"/>
        <scheme val="minor"/>
      </font>
      <fill>
        <patternFill>
          <fgColor indexed="64"/>
          <bgColor indexed="65"/>
        </patternFill>
      </fill>
      <alignment horizontal="left" vertical="top" wrapText="1"/>
    </dxf>
    <dxf>
      <font>
        <strike val="0"/>
        <condense val="0"/>
        <extend val="0"/>
        <outline val="0"/>
        <shadow val="0"/>
        <vertAlign val="baseline"/>
        <sz val="10"/>
        <color auto="1"/>
        <name val="Calibri"/>
        <scheme val="minor"/>
      </font>
      <numFmt numFmtId="166" formatCode="dd/mm/yyyy;@"/>
      <fill>
        <patternFill>
          <fgColor indexed="64"/>
          <bgColor indexed="65"/>
        </patternFill>
      </fill>
      <alignment horizontal="left" vertical="top" wrapText="1"/>
    </dxf>
    <dxf>
      <font>
        <strike val="0"/>
        <condense val="0"/>
        <extend val="0"/>
        <outline val="0"/>
        <shadow val="0"/>
        <vertAlign val="baseline"/>
        <sz val="10"/>
        <color auto="1"/>
        <name val="Calibri"/>
        <scheme val="minor"/>
      </font>
      <fill>
        <patternFill>
          <fgColor indexed="64"/>
          <bgColor indexed="65"/>
        </patternFill>
      </fill>
      <alignment horizontal="left" vertical="top" wrapText="1"/>
    </dxf>
    <dxf>
      <font>
        <strike val="0"/>
        <condense val="0"/>
        <extend val="0"/>
        <outline val="0"/>
        <shadow val="0"/>
        <vertAlign val="baseline"/>
        <sz val="10"/>
        <color theme="1"/>
        <name val="Calibri"/>
        <scheme val="minor"/>
      </font>
      <numFmt numFmtId="165" formatCode="d\ mmm\ yyyy"/>
      <fill>
        <patternFill>
          <fgColor indexed="64"/>
          <bgColor indexed="65"/>
        </patternFill>
      </fill>
      <alignment horizontal="left" vertical="top" wrapText="1"/>
    </dxf>
    <dxf>
      <font>
        <strike val="0"/>
        <condense val="0"/>
        <extend val="0"/>
        <outline val="0"/>
        <shadow val="0"/>
        <vertAlign val="baseline"/>
        <sz val="10"/>
        <color theme="1"/>
        <name val="Calibri"/>
        <scheme val="minor"/>
      </font>
      <numFmt numFmtId="165" formatCode="d\ mmm\ yyyy"/>
      <fill>
        <patternFill>
          <fgColor indexed="64"/>
          <bgColor indexed="65"/>
        </patternFill>
      </fill>
      <alignment horizontal="left" vertical="top" wrapText="1"/>
    </dxf>
    <dxf>
      <font>
        <strike val="0"/>
        <condense val="0"/>
        <extend val="0"/>
        <outline val="0"/>
        <shadow val="0"/>
        <vertAlign val="baseline"/>
        <sz val="10"/>
        <color auto="1"/>
        <name val="Calibri"/>
        <scheme val="minor"/>
      </font>
      <numFmt numFmtId="166" formatCode="dd/mm/yyyy;@"/>
      <fill>
        <patternFill>
          <fgColor indexed="64"/>
          <bgColor indexed="65"/>
        </patternFill>
      </fill>
      <alignment horizontal="left" vertical="top" wrapText="1"/>
    </dxf>
    <dxf>
      <font>
        <strike val="0"/>
        <condense val="0"/>
        <extend val="0"/>
        <outline val="0"/>
        <shadow val="0"/>
        <vertAlign val="baseline"/>
        <sz val="10"/>
        <color auto="1"/>
        <name val="Calibri"/>
        <scheme val="minor"/>
      </font>
      <numFmt numFmtId="166" formatCode="dd/mm/yyyy;@"/>
      <fill>
        <patternFill>
          <fgColor indexed="64"/>
          <bgColor indexed="65"/>
        </patternFill>
      </fill>
      <alignment horizontal="left" vertical="top" wrapText="1"/>
    </dxf>
    <dxf>
      <font>
        <strike val="0"/>
        <condense val="0"/>
        <extend val="0"/>
        <outline val="0"/>
        <shadow val="0"/>
        <vertAlign val="baseline"/>
        <sz val="10"/>
        <color auto="1"/>
        <name val="Calibri"/>
        <scheme val="minor"/>
      </font>
      <fill>
        <patternFill>
          <fgColor indexed="64"/>
          <bgColor indexed="65"/>
        </patternFill>
      </fill>
      <alignment horizontal="left" vertical="top" wrapText="1"/>
    </dxf>
    <dxf>
      <font>
        <strike val="0"/>
        <condense val="0"/>
        <extend val="0"/>
        <outline val="0"/>
        <shadow val="0"/>
        <vertAlign val="baseline"/>
        <sz val="10"/>
        <color auto="1"/>
        <name val="Calibri"/>
        <scheme val="minor"/>
      </font>
      <fill>
        <patternFill>
          <fgColor indexed="64"/>
          <bgColor indexed="65"/>
        </patternFill>
      </fill>
      <alignment horizontal="left" vertical="top" wrapText="1"/>
    </dxf>
    <dxf>
      <font>
        <strike val="0"/>
        <condense val="0"/>
        <extend val="0"/>
        <outline val="0"/>
        <shadow val="0"/>
        <vertAlign val="baseline"/>
        <sz val="10"/>
        <color auto="1"/>
        <name val="Calibri"/>
        <scheme val="minor"/>
      </font>
      <fill>
        <patternFill>
          <fgColor indexed="64"/>
          <bgColor indexed="65"/>
        </patternFill>
      </fill>
      <alignment horizontal="left" vertical="top" wrapText="1"/>
    </dxf>
    <dxf>
      <font>
        <strike val="0"/>
        <condense val="0"/>
        <extend val="0"/>
        <outline val="0"/>
        <shadow val="0"/>
        <vertAlign val="baseline"/>
        <sz val="10"/>
        <color auto="1"/>
        <name val="Calibri"/>
        <scheme val="minor"/>
      </font>
      <fill>
        <patternFill>
          <fgColor indexed="64"/>
          <bgColor indexed="65"/>
        </patternFill>
      </fill>
      <alignment horizontal="left" vertical="top" wrapText="1"/>
    </dxf>
    <dxf>
      <font>
        <strike val="0"/>
        <condense val="0"/>
        <extend val="0"/>
        <outline val="0"/>
        <shadow val="0"/>
        <vertAlign val="baseline"/>
        <sz val="10"/>
        <color auto="1"/>
        <name val="Calibri"/>
        <scheme val="minor"/>
      </font>
      <fill>
        <patternFill>
          <fgColor indexed="64"/>
          <bgColor indexed="65"/>
        </patternFill>
      </fill>
      <alignment horizontal="left" vertical="top" wrapText="1"/>
    </dxf>
    <dxf>
      <font>
        <strike val="0"/>
        <condense val="0"/>
        <extend val="0"/>
        <outline val="0"/>
        <shadow val="0"/>
        <vertAlign val="baseline"/>
        <sz val="10"/>
        <color auto="1"/>
        <name val="Calibri"/>
        <scheme val="minor"/>
      </font>
      <fill>
        <patternFill>
          <fgColor indexed="64"/>
          <bgColor indexed="65"/>
        </patternFill>
      </fill>
      <alignment horizontal="left" vertical="top" wrapText="1"/>
    </dxf>
    <dxf>
      <font>
        <strike val="0"/>
        <condense val="0"/>
        <extend val="0"/>
        <outline val="0"/>
        <shadow val="0"/>
        <vertAlign val="baseline"/>
        <sz val="10"/>
        <color auto="1"/>
        <name val="Calibri"/>
        <scheme val="minor"/>
      </font>
      <fill>
        <patternFill>
          <fgColor indexed="64"/>
          <bgColor indexed="65"/>
        </patternFill>
      </fill>
      <alignment horizontal="left" vertical="top" wrapText="1"/>
    </dxf>
    <dxf>
      <font>
        <strike val="0"/>
        <condense val="0"/>
        <extend val="0"/>
        <outline val="0"/>
        <shadow val="0"/>
        <vertAlign val="baseline"/>
        <sz val="10"/>
        <color auto="1"/>
        <name val="Calibri"/>
        <scheme val="minor"/>
      </font>
      <fill>
        <patternFill>
          <fgColor indexed="64"/>
          <bgColor indexed="65"/>
        </patternFill>
      </fill>
      <alignment horizontal="left" vertical="top" wrapText="1"/>
    </dxf>
    <dxf>
      <border outline="0">
        <left style="thin">
          <color indexed="64"/>
        </left>
        <right style="thin">
          <color indexed="64"/>
        </right>
        <top style="thin">
          <color indexed="64"/>
        </top>
        <bottom style="thin">
          <color indexed="64"/>
        </bottom>
      </border>
    </dxf>
    <dxf>
      <font>
        <strike val="0"/>
        <condense val="0"/>
        <extend val="0"/>
        <outline val="0"/>
        <shadow val="0"/>
        <vertAlign val="baseline"/>
        <sz val="10"/>
        <color auto="1"/>
        <name val="Calibri"/>
        <scheme val="minor"/>
      </font>
      <fill>
        <patternFill>
          <fgColor indexed="64"/>
          <bgColor indexed="65"/>
        </patternFill>
      </fill>
      <alignment horizontal="left" vertical="top" wrapText="1"/>
    </dxf>
    <dxf>
      <font>
        <b/>
        <strike val="0"/>
        <condense val="0"/>
        <extend val="0"/>
        <outline val="0"/>
        <shadow val="0"/>
        <vertAlign val="baseline"/>
        <sz val="10"/>
        <color theme="1"/>
        <name val="Calibri"/>
        <scheme val="minor"/>
      </font>
      <fill>
        <patternFill patternType="solid">
          <fgColor indexed="64"/>
          <bgColor theme="5" tint="-0.499984740745262"/>
        </patternFill>
      </fill>
      <alignment horizontal="left" vertical="top" wrapText="1"/>
    </dxf>
    <dxf>
      <font>
        <strike val="0"/>
        <condense val="0"/>
        <extend val="0"/>
        <outline val="0"/>
        <shadow val="0"/>
        <vertAlign val="baseline"/>
        <sz val="10"/>
        <color auto="1"/>
        <name val="Calibri"/>
        <scheme val="minor"/>
      </font>
      <fill>
        <patternFill>
          <fgColor indexed="64"/>
          <bgColor indexed="65"/>
        </patternFill>
      </fill>
      <alignment horizontal="left" vertical="top" wrapText="1"/>
    </dxf>
    <dxf>
      <font>
        <strike val="0"/>
        <condense val="0"/>
        <extend val="0"/>
        <outline val="0"/>
        <shadow val="0"/>
        <vertAlign val="baseline"/>
        <sz val="10"/>
        <color auto="1"/>
        <name val="Calibri"/>
        <scheme val="minor"/>
      </font>
      <fill>
        <patternFill>
          <fgColor indexed="64"/>
          <bgColor indexed="65"/>
        </patternFill>
      </fill>
      <alignment horizontal="left" vertical="top" wrapText="1"/>
    </dxf>
    <dxf>
      <font>
        <strike val="0"/>
        <condense val="0"/>
        <extend val="0"/>
        <outline val="0"/>
        <shadow val="0"/>
        <vertAlign val="baseline"/>
        <sz val="10"/>
        <color auto="1"/>
        <name val="Calibri"/>
        <scheme val="minor"/>
      </font>
      <fill>
        <patternFill>
          <fgColor indexed="64"/>
          <bgColor indexed="65"/>
        </patternFill>
      </fill>
      <alignment horizontal="left" vertical="top" wrapText="1"/>
    </dxf>
    <dxf>
      <font>
        <strike val="0"/>
        <condense val="0"/>
        <extend val="0"/>
        <outline val="0"/>
        <shadow val="0"/>
        <vertAlign val="baseline"/>
        <sz val="10"/>
        <color auto="1"/>
        <name val="Calibri"/>
        <scheme val="minor"/>
      </font>
      <fill>
        <patternFill>
          <fgColor indexed="64"/>
          <bgColor indexed="65"/>
        </patternFill>
      </fill>
      <alignment horizontal="left" vertical="top" wrapText="1"/>
    </dxf>
    <dxf>
      <font>
        <strike val="0"/>
        <condense val="0"/>
        <extend val="0"/>
        <outline val="0"/>
        <shadow val="0"/>
        <vertAlign val="baseline"/>
        <sz val="10"/>
        <color auto="1"/>
        <name val="Calibri"/>
        <scheme val="minor"/>
      </font>
      <fill>
        <patternFill>
          <fgColor indexed="64"/>
          <bgColor indexed="65"/>
        </patternFill>
      </fill>
      <alignment horizontal="left" vertical="top" wrapText="1"/>
    </dxf>
    <dxf>
      <font>
        <strike val="0"/>
        <condense val="0"/>
        <extend val="0"/>
        <outline val="0"/>
        <shadow val="0"/>
        <vertAlign val="baseline"/>
        <sz val="10"/>
        <color auto="1"/>
        <name val="Calibri"/>
        <scheme val="minor"/>
      </font>
      <fill>
        <patternFill>
          <fgColor indexed="64"/>
          <bgColor indexed="65"/>
        </patternFill>
      </fill>
      <alignment horizontal="left" vertical="top" wrapText="1"/>
    </dxf>
    <dxf>
      <font>
        <strike val="0"/>
        <condense val="0"/>
        <extend val="0"/>
        <outline val="0"/>
        <shadow val="0"/>
        <vertAlign val="baseline"/>
        <sz val="10"/>
        <color auto="1"/>
        <name val="Calibri"/>
        <scheme val="minor"/>
      </font>
      <fill>
        <patternFill>
          <fgColor indexed="64"/>
          <bgColor indexed="65"/>
        </patternFill>
      </fill>
      <alignment horizontal="left" vertical="top" wrapText="1"/>
    </dxf>
    <dxf>
      <font>
        <strike val="0"/>
        <condense val="0"/>
        <extend val="0"/>
        <outline val="0"/>
        <shadow val="0"/>
        <vertAlign val="baseline"/>
        <sz val="10"/>
        <color auto="1"/>
        <name val="Calibri"/>
        <scheme val="minor"/>
      </font>
      <fill>
        <patternFill>
          <fgColor indexed="64"/>
          <bgColor indexed="65"/>
        </patternFill>
      </fill>
      <alignment horizontal="left" vertical="top" wrapText="1"/>
    </dxf>
    <dxf>
      <font>
        <strike val="0"/>
        <condense val="0"/>
        <extend val="0"/>
        <outline val="0"/>
        <shadow val="0"/>
        <vertAlign val="baseline"/>
        <sz val="10"/>
        <color auto="1"/>
        <name val="Calibri"/>
        <scheme val="minor"/>
      </font>
      <fill>
        <patternFill>
          <fgColor indexed="64"/>
          <bgColor indexed="65"/>
        </patternFill>
      </fill>
      <alignment horizontal="left" vertical="top" wrapText="1"/>
    </dxf>
    <dxf>
      <font>
        <strike val="0"/>
        <condense val="0"/>
        <extend val="0"/>
        <outline val="0"/>
        <shadow val="0"/>
        <vertAlign val="baseline"/>
        <sz val="10"/>
        <color auto="1"/>
        <name val="Calibri"/>
        <scheme val="minor"/>
      </font>
      <fill>
        <patternFill>
          <fgColor indexed="64"/>
          <bgColor indexed="65"/>
        </patternFill>
      </fill>
      <alignment horizontal="left" vertical="top" wrapText="1"/>
    </dxf>
    <dxf>
      <font>
        <strike val="0"/>
        <condense val="0"/>
        <extend val="0"/>
        <outline val="0"/>
        <shadow val="0"/>
        <vertAlign val="baseline"/>
        <sz val="10"/>
        <color auto="1"/>
        <name val="Calibri"/>
        <scheme val="minor"/>
      </font>
      <fill>
        <patternFill>
          <fgColor indexed="64"/>
          <bgColor indexed="65"/>
        </patternFill>
      </fill>
      <alignment horizontal="left" vertical="top" wrapText="1"/>
    </dxf>
    <dxf>
      <font>
        <strike val="0"/>
        <condense val="0"/>
        <extend val="0"/>
        <outline val="0"/>
        <shadow val="0"/>
        <vertAlign val="baseline"/>
        <sz val="10"/>
        <color auto="1"/>
        <name val="Calibri"/>
        <scheme val="minor"/>
      </font>
      <fill>
        <patternFill>
          <fgColor indexed="64"/>
          <bgColor indexed="65"/>
        </patternFill>
      </fill>
      <alignment horizontal="left" vertical="top" wrapText="1"/>
    </dxf>
    <dxf>
      <font>
        <strike val="0"/>
        <condense val="0"/>
        <extend val="0"/>
        <outline val="0"/>
        <shadow val="0"/>
        <vertAlign val="baseline"/>
        <sz val="10"/>
        <color auto="1"/>
        <name val="Calibri"/>
        <scheme val="minor"/>
      </font>
      <fill>
        <patternFill>
          <fgColor indexed="64"/>
          <bgColor indexed="65"/>
        </patternFill>
      </fill>
      <alignment horizontal="left" vertical="top" wrapText="1"/>
    </dxf>
    <dxf>
      <font>
        <strike val="0"/>
        <condense val="0"/>
        <extend val="0"/>
        <outline val="0"/>
        <shadow val="0"/>
        <vertAlign val="baseline"/>
        <sz val="10"/>
        <color auto="1"/>
        <name val="Calibri"/>
        <scheme val="minor"/>
      </font>
      <fill>
        <patternFill>
          <fgColor indexed="64"/>
          <bgColor indexed="65"/>
        </patternFill>
      </fill>
      <alignment horizontal="left" vertical="top" wrapText="1"/>
    </dxf>
    <dxf>
      <font>
        <strike val="0"/>
        <condense val="0"/>
        <extend val="0"/>
        <outline val="0"/>
        <shadow val="0"/>
        <vertAlign val="baseline"/>
        <sz val="10"/>
        <color auto="1"/>
        <name val="Calibri"/>
        <scheme val="minor"/>
      </font>
      <fill>
        <patternFill>
          <fgColor indexed="64"/>
          <bgColor indexed="65"/>
        </patternFill>
      </fill>
      <alignment horizontal="left" vertical="top" wrapText="1"/>
    </dxf>
    <dxf>
      <font>
        <strike val="0"/>
        <condense val="0"/>
        <extend val="0"/>
        <outline val="0"/>
        <shadow val="0"/>
        <vertAlign val="baseline"/>
        <sz val="10"/>
        <color auto="1"/>
        <name val="Calibri"/>
        <scheme val="minor"/>
      </font>
      <fill>
        <patternFill>
          <fgColor indexed="64"/>
          <bgColor indexed="65"/>
        </patternFill>
      </fill>
      <alignment horizontal="left" vertical="top" wrapText="1"/>
    </dxf>
    <dxf>
      <font>
        <strike val="0"/>
        <condense val="0"/>
        <extend val="0"/>
        <outline val="0"/>
        <shadow val="0"/>
        <vertAlign val="baseline"/>
        <sz val="10"/>
        <color auto="1"/>
        <name val="Calibri"/>
        <scheme val="minor"/>
      </font>
      <fill>
        <patternFill>
          <fgColor indexed="64"/>
          <bgColor indexed="65"/>
        </patternFill>
      </fill>
      <alignment horizontal="left" vertical="top" wrapText="1"/>
    </dxf>
    <dxf>
      <font>
        <strike val="0"/>
        <condense val="0"/>
        <extend val="0"/>
        <outline val="0"/>
        <shadow val="0"/>
        <vertAlign val="baseline"/>
        <sz val="10"/>
        <color auto="1"/>
        <name val="Calibri"/>
        <scheme val="minor"/>
      </font>
      <fill>
        <patternFill>
          <fgColor indexed="64"/>
          <bgColor indexed="65"/>
        </patternFill>
      </fill>
      <alignment horizontal="left" vertical="top" wrapText="1"/>
    </dxf>
    <dxf>
      <font>
        <strike val="0"/>
        <condense val="0"/>
        <extend val="0"/>
        <outline val="0"/>
        <shadow val="0"/>
        <vertAlign val="baseline"/>
        <sz val="10"/>
        <color auto="1"/>
        <name val="Calibri"/>
        <scheme val="minor"/>
      </font>
      <fill>
        <patternFill>
          <fgColor indexed="64"/>
          <bgColor indexed="65"/>
        </patternFill>
      </fill>
      <alignment horizontal="left" vertical="top" wrapText="1"/>
    </dxf>
    <dxf>
      <font>
        <strike val="0"/>
        <condense val="0"/>
        <extend val="0"/>
        <outline val="0"/>
        <shadow val="0"/>
        <vertAlign val="baseline"/>
        <sz val="10"/>
        <color auto="1"/>
        <name val="Calibri"/>
        <scheme val="minor"/>
      </font>
      <fill>
        <patternFill>
          <fgColor indexed="64"/>
          <bgColor indexed="65"/>
        </patternFill>
      </fill>
      <alignment horizontal="left" vertical="top" wrapText="1"/>
    </dxf>
    <dxf>
      <font>
        <strike val="0"/>
        <condense val="0"/>
        <extend val="0"/>
        <outline val="0"/>
        <shadow val="0"/>
        <vertAlign val="baseline"/>
        <sz val="10"/>
        <color auto="1"/>
        <name val="Calibri"/>
        <scheme val="minor"/>
      </font>
      <fill>
        <patternFill>
          <fgColor indexed="64"/>
          <bgColor indexed="65"/>
        </patternFill>
      </fill>
      <alignment horizontal="left" vertical="top" wrapText="1"/>
    </dxf>
    <dxf>
      <font>
        <strike val="0"/>
        <condense val="0"/>
        <extend val="0"/>
        <outline val="0"/>
        <shadow val="0"/>
        <vertAlign val="baseline"/>
        <sz val="10"/>
        <color auto="1"/>
        <name val="Calibri"/>
        <scheme val="minor"/>
      </font>
      <fill>
        <patternFill>
          <fgColor indexed="64"/>
          <bgColor indexed="65"/>
        </patternFill>
      </fill>
      <alignment horizontal="left" vertical="top" wrapText="1"/>
    </dxf>
    <dxf>
      <font>
        <strike val="0"/>
        <condense val="0"/>
        <extend val="0"/>
        <outline val="0"/>
        <shadow val="0"/>
        <vertAlign val="baseline"/>
        <sz val="10"/>
        <color auto="1"/>
        <name val="Calibri"/>
        <scheme val="minor"/>
      </font>
      <fill>
        <patternFill>
          <fgColor indexed="64"/>
          <bgColor indexed="65"/>
        </patternFill>
      </fill>
      <alignment horizontal="left" vertical="top" wrapText="1"/>
    </dxf>
    <dxf>
      <font>
        <strike val="0"/>
        <condense val="0"/>
        <extend val="0"/>
        <outline val="0"/>
        <shadow val="0"/>
        <u/>
        <vertAlign val="baseline"/>
        <sz val="8"/>
        <color theme="10"/>
        <name val="Calibri"/>
        <scheme val="minor"/>
      </font>
      <fill>
        <patternFill>
          <fgColor indexed="64"/>
          <bgColor indexed="65"/>
        </patternFill>
      </fill>
      <alignment horizontal="left" vertical="top" wrapText="1"/>
    </dxf>
    <dxf>
      <font>
        <strike val="0"/>
        <condense val="0"/>
        <extend val="0"/>
        <outline val="0"/>
        <shadow val="0"/>
        <u/>
        <vertAlign val="baseline"/>
        <sz val="10"/>
        <color auto="1"/>
        <name val="Calibri"/>
        <scheme val="minor"/>
      </font>
      <fill>
        <patternFill>
          <fgColor indexed="64"/>
          <bgColor indexed="65"/>
        </patternFill>
      </fill>
      <alignment horizontal="left" vertical="top" wrapText="1"/>
    </dxf>
    <dxf>
      <font>
        <strike val="0"/>
        <condense val="0"/>
        <extend val="0"/>
        <outline val="0"/>
        <shadow val="0"/>
        <vertAlign val="baseline"/>
        <sz val="10"/>
        <color auto="1"/>
        <name val="Calibri"/>
        <scheme val="minor"/>
      </font>
      <fill>
        <patternFill>
          <fgColor indexed="64"/>
          <bgColor indexed="65"/>
        </patternFill>
      </fill>
      <alignment horizontal="left" vertical="top" wrapText="1"/>
    </dxf>
    <dxf>
      <font>
        <strike val="0"/>
        <condense val="0"/>
        <extend val="0"/>
        <outline val="0"/>
        <shadow val="0"/>
        <vertAlign val="baseline"/>
        <sz val="10"/>
        <color auto="1"/>
        <name val="Calibri"/>
        <scheme val="minor"/>
      </font>
      <fill>
        <patternFill>
          <fgColor indexed="64"/>
          <bgColor indexed="65"/>
        </patternFill>
      </fill>
      <alignment horizontal="left" vertical="top" wrapText="1"/>
    </dxf>
    <dxf>
      <font>
        <strike val="0"/>
        <condense val="0"/>
        <extend val="0"/>
        <outline val="0"/>
        <shadow val="0"/>
        <vertAlign val="baseline"/>
        <sz val="10"/>
        <color auto="1"/>
        <name val="Calibri"/>
        <scheme val="minor"/>
      </font>
      <fill>
        <patternFill>
          <fgColor indexed="64"/>
          <bgColor indexed="65"/>
        </patternFill>
      </fill>
      <alignment horizontal="left" vertical="top" wrapText="1"/>
    </dxf>
    <dxf>
      <font>
        <strike val="0"/>
        <condense val="0"/>
        <extend val="0"/>
        <outline val="0"/>
        <shadow val="0"/>
        <vertAlign val="baseline"/>
        <sz val="10"/>
        <color auto="1"/>
        <name val="Calibri"/>
        <scheme val="minor"/>
      </font>
      <fill>
        <patternFill>
          <fgColor indexed="64"/>
          <bgColor indexed="65"/>
        </patternFill>
      </fill>
      <alignment horizontal="left" vertical="top" wrapText="1"/>
    </dxf>
    <dxf>
      <font>
        <strike val="0"/>
        <condense val="0"/>
        <extend val="0"/>
        <outline val="0"/>
        <shadow val="0"/>
        <vertAlign val="baseline"/>
        <sz val="10"/>
        <color auto="1"/>
        <name val="Calibri"/>
        <scheme val="minor"/>
      </font>
      <fill>
        <patternFill>
          <fgColor indexed="64"/>
          <bgColor indexed="65"/>
        </patternFill>
      </fill>
      <alignment horizontal="left" vertical="top" wrapText="1"/>
    </dxf>
    <dxf>
      <font>
        <strike val="0"/>
        <condense val="0"/>
        <extend val="0"/>
        <outline val="0"/>
        <shadow val="0"/>
        <vertAlign val="baseline"/>
        <sz val="10"/>
        <color auto="1"/>
        <name val="Calibri"/>
        <scheme val="minor"/>
      </font>
      <fill>
        <patternFill>
          <fgColor indexed="64"/>
          <bgColor indexed="65"/>
        </patternFill>
      </fill>
      <alignment horizontal="left" vertical="top" wrapText="1"/>
    </dxf>
    <dxf>
      <font>
        <strike val="0"/>
        <condense val="0"/>
        <extend val="0"/>
        <outline val="0"/>
        <shadow val="0"/>
        <vertAlign val="baseline"/>
        <sz val="10"/>
        <color auto="1"/>
        <name val="Calibri"/>
        <scheme val="minor"/>
      </font>
      <numFmt numFmtId="165" formatCode="d\ mmm\ yyyy"/>
      <fill>
        <patternFill>
          <fgColor indexed="64"/>
          <bgColor indexed="65"/>
        </patternFill>
      </fill>
      <alignment horizontal="left" vertical="top" wrapText="1"/>
    </dxf>
    <dxf>
      <font>
        <strike val="0"/>
        <condense val="0"/>
        <extend val="0"/>
        <outline val="0"/>
        <shadow val="0"/>
        <vertAlign val="baseline"/>
        <sz val="10"/>
        <color auto="1"/>
        <name val="Calibri"/>
        <scheme val="minor"/>
      </font>
      <numFmt numFmtId="165" formatCode="d\ mmm\ yyyy"/>
      <fill>
        <patternFill>
          <fgColor indexed="64"/>
          <bgColor indexed="65"/>
        </patternFill>
      </fill>
      <alignment horizontal="left" vertical="top" wrapText="1"/>
    </dxf>
    <dxf>
      <font>
        <strike val="0"/>
        <condense val="0"/>
        <extend val="0"/>
        <outline val="0"/>
        <shadow val="0"/>
        <vertAlign val="baseline"/>
        <sz val="10"/>
        <color auto="1"/>
        <name val="Calibri"/>
        <scheme val="minor"/>
      </font>
      <numFmt numFmtId="165" formatCode="d\ mmm\ yyyy"/>
      <fill>
        <patternFill>
          <fgColor indexed="64"/>
          <bgColor indexed="65"/>
        </patternFill>
      </fill>
      <alignment horizontal="left" vertical="top" wrapText="1"/>
    </dxf>
    <dxf>
      <font>
        <strike val="0"/>
        <condense val="0"/>
        <extend val="0"/>
        <outline val="0"/>
        <shadow val="0"/>
        <vertAlign val="baseline"/>
        <sz val="10"/>
        <color auto="1"/>
        <name val="Calibri"/>
        <scheme val="minor"/>
      </font>
      <fill>
        <patternFill>
          <fgColor indexed="64"/>
          <bgColor indexed="65"/>
        </patternFill>
      </fill>
      <alignment horizontal="left" vertical="top" wrapText="1"/>
    </dxf>
    <dxf>
      <font>
        <strike val="0"/>
        <condense val="0"/>
        <extend val="0"/>
        <outline val="0"/>
        <shadow val="0"/>
        <vertAlign val="baseline"/>
        <sz val="10"/>
        <color auto="1"/>
        <name val="Calibri"/>
        <scheme val="minor"/>
      </font>
      <fill>
        <patternFill>
          <fgColor indexed="64"/>
          <bgColor indexed="65"/>
        </patternFill>
      </fill>
      <alignment horizontal="left" vertical="top" wrapText="1"/>
    </dxf>
    <dxf>
      <font>
        <strike val="0"/>
        <condense val="0"/>
        <extend val="0"/>
        <outline val="0"/>
        <shadow val="0"/>
        <vertAlign val="baseline"/>
        <sz val="10"/>
        <color auto="1"/>
        <name val="Calibri"/>
        <scheme val="minor"/>
      </font>
      <fill>
        <patternFill>
          <fgColor indexed="64"/>
          <bgColor indexed="65"/>
        </patternFill>
      </fill>
      <alignment horizontal="left" vertical="top" wrapText="1"/>
    </dxf>
    <dxf>
      <font>
        <strike val="0"/>
        <condense val="0"/>
        <extend val="0"/>
        <outline val="0"/>
        <shadow val="0"/>
        <vertAlign val="baseline"/>
        <sz val="10"/>
        <color auto="1"/>
        <name val="Calibri"/>
        <scheme val="minor"/>
      </font>
      <fill>
        <patternFill>
          <fgColor indexed="64"/>
          <bgColor indexed="65"/>
        </patternFill>
      </fill>
      <alignment horizontal="left" vertical="top" wrapText="1"/>
    </dxf>
    <dxf>
      <font>
        <strike val="0"/>
        <condense val="0"/>
        <extend val="0"/>
        <outline val="0"/>
        <shadow val="0"/>
        <vertAlign val="baseline"/>
        <sz val="10"/>
        <color auto="1"/>
        <name val="Calibri"/>
        <scheme val="minor"/>
      </font>
      <fill>
        <patternFill>
          <fgColor indexed="64"/>
          <bgColor indexed="65"/>
        </patternFill>
      </fill>
      <alignment horizontal="left" vertical="top" wrapText="1"/>
    </dxf>
    <dxf>
      <font>
        <strike val="0"/>
        <condense val="0"/>
        <extend val="0"/>
        <outline val="0"/>
        <shadow val="0"/>
        <vertAlign val="baseline"/>
        <sz val="10"/>
        <color auto="1"/>
        <name val="Calibri"/>
        <scheme val="minor"/>
      </font>
      <fill>
        <patternFill>
          <fgColor indexed="64"/>
          <bgColor indexed="65"/>
        </patternFill>
      </fill>
      <alignment horizontal="left" vertical="top" wrapText="1"/>
    </dxf>
    <dxf>
      <border outline="0">
        <left style="thin">
          <color indexed="64"/>
        </left>
        <right style="thin">
          <color indexed="64"/>
        </right>
        <top style="thin">
          <color indexed="64"/>
        </top>
        <bottom style="thin">
          <color indexed="64"/>
        </bottom>
      </border>
    </dxf>
    <dxf>
      <font>
        <strike val="0"/>
        <condense val="0"/>
        <extend val="0"/>
        <outline val="0"/>
        <shadow val="0"/>
        <vertAlign val="baseline"/>
        <sz val="10"/>
        <color auto="1"/>
        <name val="Calibri"/>
        <scheme val="minor"/>
      </font>
      <fill>
        <patternFill>
          <fgColor indexed="64"/>
          <bgColor indexed="65"/>
        </patternFill>
      </fill>
      <alignment horizontal="left" vertical="top" wrapText="1"/>
    </dxf>
    <dxf>
      <font>
        <b/>
        <strike val="0"/>
        <condense val="0"/>
        <extend val="0"/>
        <outline val="0"/>
        <shadow val="0"/>
        <vertAlign val="baseline"/>
        <sz val="10"/>
        <color theme="1"/>
        <name val="Calibri"/>
        <scheme val="minor"/>
      </font>
      <fill>
        <patternFill patternType="solid">
          <fgColor indexed="64"/>
          <bgColor theme="5" tint="-0.499984740745262"/>
        </patternFill>
      </fill>
      <alignment horizontal="left" vertical="top" wrapText="1"/>
    </dxf>
    <dxf>
      <font>
        <strike val="0"/>
        <condense val="0"/>
        <extend val="0"/>
        <outline val="0"/>
        <shadow val="0"/>
        <u/>
        <vertAlign val="baseline"/>
        <sz val="10"/>
        <color auto="1"/>
        <name val="Calibri"/>
        <scheme val="minor"/>
      </font>
      <fill>
        <patternFill>
          <fgColor indexed="64"/>
          <bgColor indexed="65"/>
        </patternFill>
      </fill>
      <alignment horizontal="left" vertical="top" wrapText="1"/>
    </dxf>
    <dxf>
      <font>
        <strike val="0"/>
        <condense val="0"/>
        <extend val="0"/>
        <outline val="0"/>
        <shadow val="0"/>
        <vertAlign val="baseline"/>
        <sz val="10"/>
        <color auto="1"/>
        <name val="Calibri"/>
        <scheme val="minor"/>
      </font>
      <fill>
        <patternFill>
          <fgColor indexed="64"/>
          <bgColor indexed="65"/>
        </patternFill>
      </fill>
      <alignment horizontal="left" vertical="top" wrapText="1"/>
    </dxf>
    <dxf>
      <font>
        <strike val="0"/>
        <condense val="0"/>
        <extend val="0"/>
        <outline val="0"/>
        <shadow val="0"/>
        <vertAlign val="baseline"/>
        <sz val="10"/>
        <color auto="1"/>
        <name val="Calibri"/>
        <scheme val="minor"/>
      </font>
      <fill>
        <patternFill>
          <fgColor indexed="64"/>
          <bgColor indexed="65"/>
        </patternFill>
      </fill>
      <alignment horizontal="left" vertical="top" wrapText="1"/>
    </dxf>
    <dxf>
      <font>
        <strike val="0"/>
        <condense val="0"/>
        <extend val="0"/>
        <outline val="0"/>
        <shadow val="0"/>
        <vertAlign val="baseline"/>
        <sz val="10"/>
        <color auto="1"/>
        <name val="Calibri"/>
        <scheme val="minor"/>
      </font>
      <fill>
        <patternFill>
          <fgColor indexed="64"/>
          <bgColor indexed="65"/>
        </patternFill>
      </fill>
      <alignment horizontal="left" vertical="top" wrapText="1"/>
    </dxf>
    <dxf>
      <font>
        <strike val="0"/>
        <condense val="0"/>
        <extend val="0"/>
        <outline val="0"/>
        <shadow val="0"/>
        <vertAlign val="baseline"/>
        <sz val="10"/>
        <color auto="1"/>
        <name val="Calibri"/>
        <scheme val="minor"/>
      </font>
      <fill>
        <patternFill>
          <fgColor indexed="64"/>
          <bgColor indexed="65"/>
        </patternFill>
      </fill>
      <alignment horizontal="left" vertical="top" wrapText="1"/>
    </dxf>
    <dxf>
      <font>
        <strike val="0"/>
        <condense val="0"/>
        <extend val="0"/>
        <outline val="0"/>
        <shadow val="0"/>
        <vertAlign val="baseline"/>
        <sz val="10"/>
        <color auto="1"/>
        <name val="Calibri"/>
        <scheme val="minor"/>
      </font>
      <numFmt numFmtId="165" formatCode="d\ mmm\ yyyy"/>
      <fill>
        <patternFill>
          <fgColor indexed="64"/>
          <bgColor indexed="65"/>
        </patternFill>
      </fill>
      <alignment horizontal="left" vertical="top" wrapText="1"/>
    </dxf>
    <dxf>
      <font>
        <strike val="0"/>
        <condense val="0"/>
        <extend val="0"/>
        <outline val="0"/>
        <shadow val="0"/>
        <vertAlign val="baseline"/>
        <sz val="10"/>
        <color auto="1"/>
        <name val="Calibri"/>
        <scheme val="minor"/>
      </font>
      <numFmt numFmtId="165" formatCode="d\ mmm\ yyyy"/>
      <fill>
        <patternFill>
          <fgColor indexed="64"/>
          <bgColor indexed="65"/>
        </patternFill>
      </fill>
      <alignment horizontal="left" vertical="top" wrapText="1"/>
    </dxf>
    <dxf>
      <font>
        <strike val="0"/>
        <condense val="0"/>
        <extend val="0"/>
        <outline val="0"/>
        <shadow val="0"/>
        <vertAlign val="baseline"/>
        <sz val="10"/>
        <color auto="1"/>
        <name val="Calibri"/>
        <scheme val="minor"/>
      </font>
      <numFmt numFmtId="165" formatCode="d\ mmm\ yyyy"/>
      <fill>
        <patternFill>
          <fgColor indexed="64"/>
          <bgColor indexed="65"/>
        </patternFill>
      </fill>
      <alignment horizontal="left" vertical="top" wrapText="1"/>
    </dxf>
    <dxf>
      <font>
        <strike val="0"/>
        <condense val="0"/>
        <extend val="0"/>
        <outline val="0"/>
        <shadow val="0"/>
        <vertAlign val="baseline"/>
        <sz val="10"/>
        <color auto="1"/>
        <name val="Calibri"/>
        <scheme val="minor"/>
      </font>
      <numFmt numFmtId="165" formatCode="d\ mmm\ yyyy"/>
      <fill>
        <patternFill>
          <fgColor indexed="64"/>
          <bgColor indexed="65"/>
        </patternFill>
      </fill>
      <alignment horizontal="left" vertical="top" wrapText="1"/>
    </dxf>
    <dxf>
      <font>
        <strike val="0"/>
        <condense val="0"/>
        <extend val="0"/>
        <outline val="0"/>
        <shadow val="0"/>
        <vertAlign val="baseline"/>
        <sz val="10"/>
        <color auto="1"/>
        <name val="Calibri"/>
        <scheme val="minor"/>
      </font>
      <fill>
        <patternFill>
          <fgColor indexed="64"/>
          <bgColor indexed="65"/>
        </patternFill>
      </fill>
      <alignment horizontal="left" vertical="top" wrapText="1"/>
    </dxf>
    <dxf>
      <font>
        <strike val="0"/>
        <condense val="0"/>
        <extend val="0"/>
        <outline val="0"/>
        <shadow val="0"/>
        <vertAlign val="baseline"/>
        <sz val="10"/>
        <color auto="1"/>
        <name val="Calibri"/>
        <scheme val="minor"/>
      </font>
      <fill>
        <patternFill>
          <fgColor indexed="64"/>
          <bgColor indexed="65"/>
        </patternFill>
      </fill>
      <alignment horizontal="left" vertical="top" wrapText="1"/>
    </dxf>
    <dxf>
      <font>
        <strike val="0"/>
        <condense val="0"/>
        <extend val="0"/>
        <outline val="0"/>
        <shadow val="0"/>
        <vertAlign val="baseline"/>
        <sz val="10"/>
        <color auto="1"/>
        <name val="Calibri"/>
        <scheme val="minor"/>
      </font>
      <fill>
        <patternFill>
          <fgColor indexed="64"/>
          <bgColor indexed="65"/>
        </patternFill>
      </fill>
      <alignment horizontal="left" vertical="top" wrapText="1"/>
    </dxf>
    <dxf>
      <font>
        <strike val="0"/>
        <condense val="0"/>
        <extend val="0"/>
        <outline val="0"/>
        <shadow val="0"/>
        <vertAlign val="baseline"/>
        <sz val="10"/>
        <color auto="1"/>
        <name val="Calibri"/>
        <scheme val="minor"/>
      </font>
      <fill>
        <patternFill>
          <fgColor indexed="64"/>
          <bgColor indexed="65"/>
        </patternFill>
      </fill>
      <alignment horizontal="left" vertical="top" wrapText="1"/>
    </dxf>
    <dxf>
      <font>
        <strike val="0"/>
        <condense val="0"/>
        <extend val="0"/>
        <outline val="0"/>
        <shadow val="0"/>
        <vertAlign val="baseline"/>
        <sz val="10"/>
        <color auto="1"/>
        <name val="Calibri"/>
        <scheme val="minor"/>
      </font>
      <fill>
        <patternFill>
          <fgColor indexed="64"/>
          <bgColor indexed="65"/>
        </patternFill>
      </fill>
      <alignment horizontal="left" vertical="top" wrapText="1"/>
    </dxf>
    <dxf>
      <font>
        <strike val="0"/>
        <condense val="0"/>
        <extend val="0"/>
        <outline val="0"/>
        <shadow val="0"/>
        <vertAlign val="baseline"/>
        <sz val="10"/>
        <color auto="1"/>
        <name val="Calibri"/>
        <scheme val="minor"/>
      </font>
      <fill>
        <patternFill>
          <fgColor indexed="64"/>
          <bgColor indexed="65"/>
        </patternFill>
      </fill>
      <alignment horizontal="left" vertical="top" wrapText="1"/>
    </dxf>
    <dxf>
      <font>
        <strike val="0"/>
        <condense val="0"/>
        <extend val="0"/>
        <outline val="0"/>
        <shadow val="0"/>
        <vertAlign val="baseline"/>
        <sz val="10"/>
        <color auto="1"/>
        <name val="Calibri"/>
        <scheme val="minor"/>
      </font>
      <fill>
        <patternFill>
          <fgColor indexed="64"/>
          <bgColor indexed="65"/>
        </patternFill>
      </fill>
      <alignment horizontal="left" vertical="top" wrapText="1"/>
    </dxf>
    <dxf>
      <font>
        <strike val="0"/>
        <condense val="0"/>
        <extend val="0"/>
        <outline val="0"/>
        <shadow val="0"/>
        <vertAlign val="baseline"/>
        <sz val="10"/>
        <color auto="1"/>
        <name val="Calibri"/>
        <scheme val="minor"/>
      </font>
      <fill>
        <patternFill>
          <fgColor indexed="64"/>
          <bgColor indexed="65"/>
        </patternFill>
      </fill>
      <alignment horizontal="left" vertical="top" wrapText="1"/>
    </dxf>
    <dxf>
      <font>
        <strike val="0"/>
        <condense val="0"/>
        <extend val="0"/>
        <outline val="0"/>
        <shadow val="0"/>
        <vertAlign val="baseline"/>
        <sz val="10"/>
        <color auto="1"/>
        <name val="Calibri"/>
        <scheme val="minor"/>
      </font>
      <fill>
        <patternFill>
          <fgColor indexed="64"/>
          <bgColor indexed="65"/>
        </patternFill>
      </fill>
      <alignment horizontal="left" vertical="top" wrapText="1"/>
    </dxf>
    <dxf>
      <font>
        <strike val="0"/>
        <condense val="0"/>
        <extend val="0"/>
        <outline val="0"/>
        <shadow val="0"/>
        <vertAlign val="baseline"/>
        <sz val="10"/>
        <color auto="1"/>
        <name val="Calibri"/>
        <scheme val="minor"/>
      </font>
      <fill>
        <patternFill>
          <fgColor indexed="64"/>
          <bgColor indexed="65"/>
        </patternFill>
      </fill>
      <alignment horizontal="left" vertical="top" wrapText="1"/>
    </dxf>
    <dxf>
      <border outline="0">
        <left style="thin">
          <color indexed="64"/>
        </left>
        <right style="thin">
          <color indexed="64"/>
        </right>
        <top style="thin">
          <color indexed="64"/>
        </top>
        <bottom style="thin">
          <color indexed="64"/>
        </bottom>
      </border>
    </dxf>
    <dxf>
      <font>
        <strike val="0"/>
        <condense val="0"/>
        <extend val="0"/>
        <outline val="0"/>
        <shadow val="0"/>
        <vertAlign val="baseline"/>
        <sz val="10"/>
        <color auto="1"/>
        <name val="Calibri"/>
        <scheme val="minor"/>
      </font>
      <fill>
        <patternFill>
          <fgColor indexed="64"/>
          <bgColor indexed="65"/>
        </patternFill>
      </fill>
      <alignment horizontal="left" vertical="top" wrapText="1"/>
    </dxf>
    <dxf>
      <font>
        <b/>
        <strike val="0"/>
        <condense val="0"/>
        <extend val="0"/>
        <outline val="0"/>
        <shadow val="0"/>
        <vertAlign val="baseline"/>
        <sz val="10"/>
        <color theme="1"/>
        <name val="Calibri"/>
        <scheme val="minor"/>
      </font>
      <fill>
        <patternFill patternType="solid">
          <fgColor indexed="64"/>
          <bgColor theme="5" tint="-0.499984740745262"/>
        </patternFill>
      </fill>
      <alignment horizontal="left" vertical="top" wrapText="1"/>
    </dxf>
    <dxf>
      <font>
        <strike val="0"/>
        <condense val="0"/>
        <extend val="0"/>
        <outline val="0"/>
        <shadow val="0"/>
        <vertAlign val="baseline"/>
        <sz val="10"/>
        <color auto="1"/>
        <name val="Calibri"/>
        <scheme val="minor"/>
      </font>
      <numFmt numFmtId="0" formatCode="General"/>
      <fill>
        <patternFill>
          <fgColor indexed="64"/>
          <bgColor indexed="65"/>
        </patternFill>
      </fill>
      <alignment horizontal="left" vertical="top" wrapText="1"/>
    </dxf>
    <dxf>
      <font>
        <strike val="0"/>
        <condense val="0"/>
        <extend val="0"/>
        <outline val="0"/>
        <shadow val="0"/>
        <vertAlign val="baseline"/>
        <sz val="10"/>
        <color auto="1"/>
        <name val="Calibri"/>
        <scheme val="minor"/>
      </font>
      <numFmt numFmtId="0" formatCode="General"/>
      <fill>
        <patternFill>
          <fgColor indexed="64"/>
          <bgColor indexed="65"/>
        </patternFill>
      </fill>
      <alignment horizontal="left" vertical="top" wrapText="1"/>
    </dxf>
    <dxf>
      <font>
        <strike val="0"/>
        <condense val="0"/>
        <extend val="0"/>
        <outline val="0"/>
        <shadow val="0"/>
        <vertAlign val="baseline"/>
        <sz val="10"/>
        <color auto="1"/>
        <name val="Calibri"/>
        <scheme val="minor"/>
      </font>
      <numFmt numFmtId="0" formatCode="General"/>
      <fill>
        <patternFill>
          <fgColor indexed="64"/>
          <bgColor auto="1"/>
        </patternFill>
      </fill>
      <alignment horizontal="left" vertical="top" wrapText="1"/>
    </dxf>
    <dxf>
      <font>
        <strike val="0"/>
        <condense val="0"/>
        <extend val="0"/>
        <outline val="0"/>
        <shadow val="0"/>
        <u/>
        <vertAlign val="baseline"/>
        <sz val="10"/>
        <color auto="1"/>
        <name val="Calibri"/>
        <scheme val="minor"/>
      </font>
      <numFmt numFmtId="0" formatCode="General"/>
      <fill>
        <patternFill>
          <fgColor indexed="64"/>
          <bgColor indexed="65"/>
        </patternFill>
      </fill>
      <alignment horizontal="left" vertical="top" wrapText="1"/>
    </dxf>
    <dxf>
      <font>
        <strike val="0"/>
        <condense val="0"/>
        <extend val="0"/>
        <outline val="0"/>
        <shadow val="0"/>
        <vertAlign val="baseline"/>
        <sz val="10"/>
        <color auto="1"/>
        <name val="Calibri"/>
        <scheme val="minor"/>
      </font>
      <numFmt numFmtId="165" formatCode="d\ mmm\ yyyy"/>
      <fill>
        <patternFill>
          <fgColor indexed="64"/>
          <bgColor indexed="65"/>
        </patternFill>
      </fill>
      <alignment horizontal="left" vertical="top" wrapText="1"/>
    </dxf>
    <dxf>
      <font>
        <strike val="0"/>
        <condense val="0"/>
        <extend val="0"/>
        <outline val="0"/>
        <shadow val="0"/>
        <vertAlign val="baseline"/>
        <sz val="10"/>
        <color auto="1"/>
        <name val="Calibri"/>
        <scheme val="minor"/>
      </font>
      <numFmt numFmtId="166" formatCode="dd/mm/yyyy;@"/>
      <fill>
        <patternFill>
          <fgColor indexed="64"/>
          <bgColor indexed="65"/>
        </patternFill>
      </fill>
      <alignment horizontal="left" vertical="top" wrapText="1"/>
    </dxf>
    <dxf>
      <font>
        <strike val="0"/>
        <condense val="0"/>
        <extend val="0"/>
        <outline val="0"/>
        <shadow val="0"/>
        <vertAlign val="baseline"/>
        <sz val="10"/>
        <color auto="1"/>
        <name val="Calibri"/>
        <scheme val="minor"/>
      </font>
      <numFmt numFmtId="165" formatCode="d\ mmm\ yyyy"/>
      <fill>
        <patternFill>
          <fgColor indexed="64"/>
          <bgColor indexed="65"/>
        </patternFill>
      </fill>
      <alignment horizontal="left" vertical="top" wrapText="1"/>
    </dxf>
    <dxf>
      <font>
        <strike val="0"/>
        <condense val="0"/>
        <extend val="0"/>
        <outline val="0"/>
        <shadow val="0"/>
        <vertAlign val="baseline"/>
        <sz val="10"/>
        <color auto="1"/>
        <name val="Calibri"/>
        <scheme val="minor"/>
      </font>
      <numFmt numFmtId="165" formatCode="d\ mmm\ yyyy"/>
      <fill>
        <patternFill>
          <fgColor indexed="64"/>
          <bgColor indexed="65"/>
        </patternFill>
      </fill>
      <alignment horizontal="left" vertical="top" wrapText="1"/>
    </dxf>
    <dxf>
      <font>
        <strike val="0"/>
        <condense val="0"/>
        <extend val="0"/>
        <outline val="0"/>
        <shadow val="0"/>
        <vertAlign val="baseline"/>
        <sz val="10"/>
        <color auto="1"/>
        <name val="Calibri"/>
        <scheme val="minor"/>
      </font>
      <numFmt numFmtId="165" formatCode="d\ mmm\ yyyy"/>
      <fill>
        <patternFill>
          <fgColor indexed="64"/>
          <bgColor indexed="65"/>
        </patternFill>
      </fill>
      <alignment horizontal="left" vertical="top" wrapText="1"/>
    </dxf>
    <dxf>
      <font>
        <strike val="0"/>
        <condense val="0"/>
        <extend val="0"/>
        <outline val="0"/>
        <shadow val="0"/>
        <vertAlign val="baseline"/>
        <sz val="10"/>
        <color auto="1"/>
        <name val="Calibri"/>
        <scheme val="minor"/>
      </font>
      <numFmt numFmtId="166" formatCode="dd/mm/yyyy;@"/>
      <fill>
        <patternFill>
          <fgColor indexed="64"/>
          <bgColor auto="1"/>
        </patternFill>
      </fill>
      <alignment horizontal="left" vertical="top" wrapText="1"/>
    </dxf>
    <dxf>
      <font>
        <strike val="0"/>
        <condense val="0"/>
        <extend val="0"/>
        <outline val="0"/>
        <shadow val="0"/>
        <vertAlign val="baseline"/>
        <sz val="10"/>
        <color auto="1"/>
        <name val="Calibri"/>
        <scheme val="minor"/>
      </font>
      <numFmt numFmtId="166" formatCode="dd/mm/yyyy;@"/>
      <fill>
        <patternFill>
          <fgColor indexed="64"/>
          <bgColor auto="1"/>
        </patternFill>
      </fill>
      <alignment horizontal="left" vertical="top" wrapText="1"/>
    </dxf>
    <dxf>
      <font>
        <strike val="0"/>
        <condense val="0"/>
        <extend val="0"/>
        <outline val="0"/>
        <shadow val="0"/>
        <vertAlign val="baseline"/>
        <sz val="10"/>
        <color auto="1"/>
        <name val="Calibri"/>
        <scheme val="minor"/>
      </font>
      <fill>
        <patternFill>
          <fgColor indexed="64"/>
          <bgColor auto="1"/>
        </patternFill>
      </fill>
      <alignment horizontal="left" vertical="top" wrapText="1"/>
    </dxf>
    <dxf>
      <font>
        <strike val="0"/>
        <condense val="0"/>
        <extend val="0"/>
        <outline val="0"/>
        <shadow val="0"/>
        <vertAlign val="baseline"/>
        <sz val="10"/>
        <color auto="1"/>
        <name val="Calibri"/>
        <scheme val="minor"/>
      </font>
      <fill>
        <patternFill>
          <fgColor indexed="64"/>
          <bgColor auto="1"/>
        </patternFill>
      </fill>
      <alignment horizontal="left" vertical="top" wrapText="1"/>
    </dxf>
    <dxf>
      <font>
        <strike val="0"/>
        <condense val="0"/>
        <extend val="0"/>
        <outline val="0"/>
        <shadow val="0"/>
        <vertAlign val="baseline"/>
        <sz val="10"/>
        <color auto="1"/>
        <name val="Calibri"/>
        <scheme val="minor"/>
      </font>
      <fill>
        <patternFill>
          <fgColor indexed="64"/>
          <bgColor auto="1"/>
        </patternFill>
      </fill>
      <alignment horizontal="left" vertical="top" wrapText="1"/>
    </dxf>
    <dxf>
      <font>
        <strike val="0"/>
        <condense val="0"/>
        <extend val="0"/>
        <outline val="0"/>
        <shadow val="0"/>
        <vertAlign val="baseline"/>
        <sz val="10"/>
        <color auto="1"/>
        <name val="Calibri"/>
        <scheme val="minor"/>
      </font>
      <fill>
        <patternFill>
          <fgColor indexed="64"/>
          <bgColor indexed="65"/>
        </patternFill>
      </fill>
      <alignment horizontal="left" vertical="top" wrapText="1"/>
    </dxf>
    <dxf>
      <font>
        <strike val="0"/>
        <condense val="0"/>
        <extend val="0"/>
        <outline val="0"/>
        <shadow val="0"/>
        <vertAlign val="baseline"/>
        <sz val="10"/>
        <color auto="1"/>
        <name val="Calibri"/>
        <scheme val="minor"/>
      </font>
      <fill>
        <patternFill>
          <fgColor indexed="64"/>
          <bgColor auto="1"/>
        </patternFill>
      </fill>
      <alignment horizontal="left" vertical="top" wrapText="1"/>
    </dxf>
    <dxf>
      <font>
        <strike val="0"/>
        <condense val="0"/>
        <extend val="0"/>
        <outline val="0"/>
        <shadow val="0"/>
        <vertAlign val="baseline"/>
        <sz val="10"/>
        <color auto="1"/>
        <name val="Calibri"/>
        <scheme val="minor"/>
      </font>
      <fill>
        <patternFill>
          <fgColor indexed="64"/>
          <bgColor auto="1"/>
        </patternFill>
      </fill>
      <alignment horizontal="left" vertical="top" wrapText="1"/>
    </dxf>
    <dxf>
      <font>
        <strike val="0"/>
        <condense val="0"/>
        <extend val="0"/>
        <outline val="0"/>
        <shadow val="0"/>
        <vertAlign val="baseline"/>
        <sz val="10"/>
        <color auto="1"/>
        <name val="Calibri"/>
        <scheme val="minor"/>
      </font>
      <fill>
        <patternFill>
          <fgColor indexed="64"/>
          <bgColor auto="1"/>
        </patternFill>
      </fill>
      <alignment horizontal="left" vertical="top" wrapText="1"/>
    </dxf>
    <dxf>
      <font>
        <strike val="0"/>
        <condense val="0"/>
        <extend val="0"/>
        <outline val="0"/>
        <shadow val="0"/>
        <vertAlign val="baseline"/>
        <sz val="10"/>
        <color auto="1"/>
        <name val="Calibri"/>
        <scheme val="minor"/>
      </font>
      <fill>
        <patternFill>
          <fgColor indexed="64"/>
          <bgColor auto="1"/>
        </patternFill>
      </fill>
      <alignment horizontal="left" vertical="top" wrapText="1"/>
    </dxf>
    <dxf>
      <border outline="0">
        <left style="thin">
          <color rgb="FF000000"/>
        </left>
        <right style="thin">
          <color rgb="FF000000"/>
        </right>
        <top style="thin">
          <color rgb="FF000000"/>
        </top>
        <bottom style="thin">
          <color rgb="FF000000"/>
        </bottom>
      </border>
    </dxf>
    <dxf>
      <font>
        <strike val="0"/>
        <condense val="0"/>
        <extend val="0"/>
        <outline val="0"/>
        <shadow val="0"/>
        <vertAlign val="baseline"/>
        <sz val="10"/>
        <color auto="1"/>
        <name val="Calibri"/>
      </font>
      <fill>
        <patternFill>
          <fgColor rgb="FF000000"/>
          <bgColor auto="1"/>
        </patternFill>
      </fill>
      <alignment horizontal="left" vertical="top" wrapText="1"/>
    </dxf>
    <dxf>
      <font>
        <b/>
        <strike val="0"/>
        <condense val="0"/>
        <extend val="0"/>
        <outline val="0"/>
        <shadow val="0"/>
        <vertAlign val="baseline"/>
        <sz val="10"/>
        <color theme="1"/>
        <name val="Calibri"/>
        <scheme val="minor"/>
      </font>
      <fill>
        <patternFill patternType="solid">
          <fgColor indexed="64"/>
          <bgColor theme="5" tint="-0.499984740745262"/>
        </patternFill>
      </fill>
      <alignment horizontal="left" vertical="top" wrapText="1"/>
    </dxf>
    <dxf>
      <font>
        <strike val="0"/>
        <condense val="0"/>
        <extend val="0"/>
        <outline val="0"/>
        <shadow val="0"/>
        <vertAlign val="baseline"/>
        <sz val="10"/>
        <color auto="1"/>
        <name val="Calibri"/>
        <scheme val="minor"/>
      </font>
      <numFmt numFmtId="0" formatCode="General"/>
      <fill>
        <patternFill>
          <fgColor indexed="64"/>
          <bgColor indexed="65"/>
        </patternFill>
      </fill>
      <alignment horizontal="left" vertical="top" wrapText="1"/>
    </dxf>
    <dxf>
      <font>
        <strike val="0"/>
        <condense val="0"/>
        <extend val="0"/>
        <outline val="0"/>
        <shadow val="0"/>
        <vertAlign val="baseline"/>
        <sz val="10"/>
        <color auto="1"/>
        <name val="Calibri"/>
        <scheme val="minor"/>
      </font>
      <numFmt numFmtId="0" formatCode="General"/>
      <fill>
        <patternFill>
          <fgColor indexed="64"/>
          <bgColor indexed="65"/>
        </patternFill>
      </fill>
      <alignment horizontal="left" vertical="top" wrapText="1"/>
    </dxf>
    <dxf>
      <font>
        <strike val="0"/>
        <condense val="0"/>
        <extend val="0"/>
        <outline val="0"/>
        <shadow val="0"/>
        <vertAlign val="baseline"/>
        <sz val="10"/>
        <color auto="1"/>
        <name val="Calibri"/>
        <scheme val="minor"/>
      </font>
      <numFmt numFmtId="0" formatCode="General"/>
      <fill>
        <patternFill>
          <fgColor indexed="64"/>
          <bgColor auto="1"/>
        </patternFill>
      </fill>
      <alignment horizontal="left" vertical="top" wrapText="1"/>
    </dxf>
    <dxf>
      <font>
        <strike val="0"/>
        <condense val="0"/>
        <extend val="0"/>
        <outline val="0"/>
        <shadow val="0"/>
        <u/>
        <vertAlign val="baseline"/>
        <sz val="10"/>
        <color auto="1"/>
        <name val="Calibri"/>
        <scheme val="minor"/>
      </font>
      <numFmt numFmtId="0" formatCode="General"/>
      <fill>
        <patternFill>
          <fgColor indexed="64"/>
          <bgColor indexed="65"/>
        </patternFill>
      </fill>
      <alignment horizontal="left" vertical="top" wrapText="1"/>
    </dxf>
    <dxf>
      <font>
        <strike val="0"/>
        <condense val="0"/>
        <extend val="0"/>
        <outline val="0"/>
        <shadow val="0"/>
        <vertAlign val="baseline"/>
        <sz val="10"/>
        <color auto="1"/>
        <name val="Calibri"/>
        <scheme val="minor"/>
      </font>
      <numFmt numFmtId="165" formatCode="d\ mmm\ yyyy"/>
      <fill>
        <patternFill>
          <fgColor indexed="64"/>
          <bgColor indexed="65"/>
        </patternFill>
      </fill>
      <alignment horizontal="left" vertical="top" wrapText="1"/>
    </dxf>
    <dxf>
      <font>
        <strike val="0"/>
        <condense val="0"/>
        <extend val="0"/>
        <outline val="0"/>
        <shadow val="0"/>
        <vertAlign val="baseline"/>
        <sz val="10"/>
        <color auto="1"/>
        <name val="Calibri"/>
        <scheme val="minor"/>
      </font>
      <numFmt numFmtId="166" formatCode="dd/mm/yyyy;@"/>
      <fill>
        <patternFill>
          <fgColor indexed="64"/>
          <bgColor indexed="65"/>
        </patternFill>
      </fill>
      <alignment horizontal="left" vertical="top" wrapText="1"/>
    </dxf>
    <dxf>
      <font>
        <strike val="0"/>
        <condense val="0"/>
        <extend val="0"/>
        <outline val="0"/>
        <shadow val="0"/>
        <vertAlign val="baseline"/>
        <sz val="10"/>
        <color auto="1"/>
        <name val="Calibri"/>
        <scheme val="minor"/>
      </font>
      <numFmt numFmtId="165" formatCode="d\ mmm\ yyyy"/>
      <fill>
        <patternFill>
          <fgColor indexed="64"/>
          <bgColor indexed="65"/>
        </patternFill>
      </fill>
      <alignment horizontal="left" vertical="top" wrapText="1"/>
    </dxf>
    <dxf>
      <font>
        <strike val="0"/>
        <condense val="0"/>
        <extend val="0"/>
        <outline val="0"/>
        <shadow val="0"/>
        <vertAlign val="baseline"/>
        <sz val="10"/>
        <color auto="1"/>
        <name val="Calibri"/>
        <scheme val="minor"/>
      </font>
      <numFmt numFmtId="165" formatCode="d\ mmm\ yyyy"/>
      <fill>
        <patternFill>
          <fgColor indexed="64"/>
          <bgColor indexed="65"/>
        </patternFill>
      </fill>
      <alignment horizontal="left" vertical="top" wrapText="1"/>
    </dxf>
    <dxf>
      <font>
        <strike val="0"/>
        <condense val="0"/>
        <extend val="0"/>
        <outline val="0"/>
        <shadow val="0"/>
        <vertAlign val="baseline"/>
        <sz val="10"/>
        <color auto="1"/>
        <name val="Calibri"/>
        <scheme val="minor"/>
      </font>
      <numFmt numFmtId="165" formatCode="d\ mmm\ yyyy"/>
      <fill>
        <patternFill>
          <fgColor indexed="64"/>
          <bgColor indexed="65"/>
        </patternFill>
      </fill>
      <alignment horizontal="left" vertical="top" wrapText="1"/>
    </dxf>
    <dxf>
      <font>
        <strike val="0"/>
        <condense val="0"/>
        <extend val="0"/>
        <outline val="0"/>
        <shadow val="0"/>
        <vertAlign val="baseline"/>
        <sz val="10"/>
        <color auto="1"/>
        <name val="Calibri"/>
        <scheme val="minor"/>
      </font>
      <numFmt numFmtId="166" formatCode="dd/mm/yyyy;@"/>
      <fill>
        <patternFill>
          <fgColor indexed="64"/>
          <bgColor indexed="65"/>
        </patternFill>
      </fill>
      <alignment horizontal="left" vertical="top" wrapText="1"/>
    </dxf>
    <dxf>
      <font>
        <strike val="0"/>
        <condense val="0"/>
        <extend val="0"/>
        <outline val="0"/>
        <shadow val="0"/>
        <vertAlign val="baseline"/>
        <sz val="10"/>
        <color auto="1"/>
        <name val="Calibri"/>
        <scheme val="minor"/>
      </font>
      <numFmt numFmtId="166" formatCode="dd/mm/yyyy;@"/>
      <fill>
        <patternFill>
          <fgColor indexed="64"/>
          <bgColor auto="1"/>
        </patternFill>
      </fill>
      <alignment horizontal="left" vertical="top" wrapText="1"/>
    </dxf>
    <dxf>
      <font>
        <strike val="0"/>
        <condense val="0"/>
        <extend val="0"/>
        <outline val="0"/>
        <shadow val="0"/>
        <vertAlign val="baseline"/>
        <sz val="10"/>
        <color auto="1"/>
        <name val="Calibri"/>
        <scheme val="minor"/>
      </font>
      <numFmt numFmtId="166" formatCode="dd/mm/yyyy;@"/>
      <fill>
        <patternFill>
          <fgColor indexed="64"/>
          <bgColor auto="1"/>
        </patternFill>
      </fill>
      <alignment horizontal="left" vertical="top" wrapText="1"/>
    </dxf>
    <dxf>
      <font>
        <strike val="0"/>
        <condense val="0"/>
        <extend val="0"/>
        <outline val="0"/>
        <shadow val="0"/>
        <vertAlign val="baseline"/>
        <sz val="10"/>
        <color auto="1"/>
        <name val="Calibri"/>
        <scheme val="minor"/>
      </font>
      <fill>
        <patternFill>
          <fgColor indexed="64"/>
          <bgColor indexed="65"/>
        </patternFill>
      </fill>
      <alignment horizontal="left" vertical="top" wrapText="1"/>
    </dxf>
    <dxf>
      <font>
        <strike val="0"/>
        <condense val="0"/>
        <extend val="0"/>
        <outline val="0"/>
        <shadow val="0"/>
        <vertAlign val="baseline"/>
        <sz val="10"/>
        <color auto="1"/>
        <name val="Calibri"/>
        <scheme val="minor"/>
      </font>
      <fill>
        <patternFill>
          <fgColor indexed="64"/>
          <bgColor auto="1"/>
        </patternFill>
      </fill>
      <alignment horizontal="left" vertical="top" wrapText="1"/>
    </dxf>
    <dxf>
      <font>
        <strike val="0"/>
        <condense val="0"/>
        <extend val="0"/>
        <outline val="0"/>
        <shadow val="0"/>
        <vertAlign val="baseline"/>
        <sz val="10"/>
        <color auto="1"/>
        <name val="Calibri"/>
        <scheme val="minor"/>
      </font>
      <fill>
        <patternFill>
          <fgColor indexed="64"/>
          <bgColor auto="1"/>
        </patternFill>
      </fill>
      <alignment horizontal="left" vertical="top" wrapText="1"/>
    </dxf>
    <dxf>
      <font>
        <strike val="0"/>
        <condense val="0"/>
        <extend val="0"/>
        <outline val="0"/>
        <shadow val="0"/>
        <vertAlign val="baseline"/>
        <sz val="10"/>
        <color auto="1"/>
        <name val="Calibri"/>
        <scheme val="minor"/>
      </font>
      <fill>
        <patternFill>
          <fgColor indexed="64"/>
          <bgColor auto="1"/>
        </patternFill>
      </fill>
      <alignment horizontal="left" vertical="top" wrapText="1"/>
    </dxf>
    <dxf>
      <font>
        <strike val="0"/>
        <condense val="0"/>
        <extend val="0"/>
        <outline val="0"/>
        <shadow val="0"/>
        <vertAlign val="baseline"/>
        <sz val="10"/>
        <color auto="1"/>
        <name val="Calibri"/>
        <scheme val="minor"/>
      </font>
      <fill>
        <patternFill>
          <fgColor indexed="64"/>
          <bgColor auto="1"/>
        </patternFill>
      </fill>
      <alignment horizontal="left" vertical="top" wrapText="1"/>
    </dxf>
    <dxf>
      <font>
        <strike val="0"/>
        <condense val="0"/>
        <extend val="0"/>
        <outline val="0"/>
        <shadow val="0"/>
        <vertAlign val="baseline"/>
        <sz val="10"/>
        <color auto="1"/>
        <name val="Calibri"/>
        <scheme val="minor"/>
      </font>
      <fill>
        <patternFill>
          <fgColor indexed="64"/>
          <bgColor auto="1"/>
        </patternFill>
      </fill>
      <alignment horizontal="left" vertical="top" wrapText="1"/>
    </dxf>
    <dxf>
      <font>
        <strike val="0"/>
        <condense val="0"/>
        <extend val="0"/>
        <outline val="0"/>
        <shadow val="0"/>
        <vertAlign val="baseline"/>
        <sz val="10"/>
        <color auto="1"/>
        <name val="Calibri"/>
        <scheme val="minor"/>
      </font>
      <fill>
        <patternFill>
          <fgColor indexed="64"/>
          <bgColor auto="1"/>
        </patternFill>
      </fill>
      <alignment horizontal="left" vertical="top" wrapText="1"/>
    </dxf>
    <dxf>
      <font>
        <strike val="0"/>
        <condense val="0"/>
        <extend val="0"/>
        <outline val="0"/>
        <shadow val="0"/>
        <vertAlign val="baseline"/>
        <sz val="10"/>
        <color auto="1"/>
        <name val="Calibri"/>
        <scheme val="minor"/>
      </font>
      <fill>
        <patternFill>
          <fgColor indexed="64"/>
          <bgColor auto="1"/>
        </patternFill>
      </fill>
      <alignment horizontal="left" vertical="top" wrapText="1"/>
    </dxf>
    <dxf>
      <font>
        <strike val="0"/>
        <condense val="0"/>
        <extend val="0"/>
        <outline val="0"/>
        <shadow val="0"/>
        <vertAlign val="baseline"/>
        <sz val="10"/>
        <color auto="1"/>
        <name val="Calibri"/>
        <scheme val="minor"/>
      </font>
      <fill>
        <patternFill>
          <fgColor indexed="64"/>
          <bgColor auto="1"/>
        </patternFill>
      </fill>
      <alignment horizontal="left" vertical="top" wrapText="1"/>
    </dxf>
    <dxf>
      <border outline="0">
        <left style="thin">
          <color rgb="FF000000"/>
        </left>
        <right style="thin">
          <color rgb="FF000000"/>
        </right>
        <top style="thin">
          <color rgb="FF000000"/>
        </top>
        <bottom style="thin">
          <color rgb="FF000000"/>
        </bottom>
      </border>
    </dxf>
    <dxf>
      <font>
        <strike val="0"/>
        <condense val="0"/>
        <extend val="0"/>
        <outline val="0"/>
        <shadow val="0"/>
        <vertAlign val="baseline"/>
        <sz val="10"/>
        <color auto="1"/>
        <name val="Calibri"/>
        <scheme val="minor"/>
      </font>
      <fill>
        <patternFill>
          <fgColor indexed="64"/>
          <bgColor auto="1"/>
        </patternFill>
      </fill>
      <alignment horizontal="left" vertical="top" wrapText="1"/>
    </dxf>
    <dxf>
      <font>
        <b/>
        <strike val="0"/>
        <condense val="0"/>
        <extend val="0"/>
        <outline val="0"/>
        <shadow val="0"/>
        <vertAlign val="baseline"/>
        <sz val="10"/>
        <color theme="1"/>
        <name val="Calibri"/>
        <scheme val="minor"/>
      </font>
      <fill>
        <patternFill patternType="solid">
          <fgColor indexed="64"/>
          <bgColor theme="5" tint="-0.499984740745262"/>
        </patternFill>
      </fill>
      <alignment horizontal="left" vertical="top" wrapText="1"/>
    </dxf>
    <dxf>
      <font>
        <strike val="0"/>
        <condense val="0"/>
        <extend val="0"/>
        <outline val="0"/>
        <shadow val="0"/>
        <u/>
        <vertAlign val="baseline"/>
        <sz val="10"/>
        <color auto="1"/>
        <name val="Calibri"/>
        <scheme val="minor"/>
      </font>
      <fill>
        <patternFill>
          <fgColor indexed="64"/>
          <bgColor auto="1"/>
        </patternFill>
      </fill>
      <alignment horizontal="left" vertical="top"/>
    </dxf>
    <dxf>
      <font>
        <strike val="0"/>
        <condense val="0"/>
        <extend val="0"/>
        <outline val="0"/>
        <shadow val="0"/>
        <vertAlign val="baseline"/>
        <sz val="10"/>
        <color theme="1"/>
        <name val="Calibri"/>
        <scheme val="minor"/>
      </font>
      <numFmt numFmtId="165" formatCode="d\ mmm\ yyyy"/>
      <fill>
        <patternFill>
          <fgColor indexed="64"/>
          <bgColor indexed="65"/>
        </patternFill>
      </fill>
      <alignment horizontal="left" vertical="top" wrapText="1"/>
    </dxf>
    <dxf>
      <font>
        <strike val="0"/>
        <condense val="0"/>
        <extend val="0"/>
        <outline val="0"/>
        <shadow val="0"/>
        <vertAlign val="baseline"/>
        <sz val="10"/>
        <color theme="1"/>
        <name val="Calibri"/>
        <scheme val="minor"/>
      </font>
      <numFmt numFmtId="165" formatCode="d\ mmm\ yyyy"/>
      <fill>
        <patternFill>
          <fgColor indexed="64"/>
          <bgColor indexed="65"/>
        </patternFill>
      </fill>
      <alignment horizontal="left" vertical="top" wrapText="1"/>
    </dxf>
    <dxf>
      <font>
        <strike val="0"/>
        <condense val="0"/>
        <extend val="0"/>
        <outline val="0"/>
        <shadow val="0"/>
        <vertAlign val="baseline"/>
        <sz val="10"/>
        <color theme="1"/>
        <name val="Calibri"/>
        <scheme val="minor"/>
      </font>
      <numFmt numFmtId="165" formatCode="d\ mmm\ yyyy"/>
      <fill>
        <patternFill>
          <fgColor indexed="64"/>
          <bgColor indexed="65"/>
        </patternFill>
      </fill>
      <alignment horizontal="left" vertical="top" wrapText="1"/>
    </dxf>
    <dxf>
      <font>
        <strike val="0"/>
        <condense val="0"/>
        <extend val="0"/>
        <outline val="0"/>
        <shadow val="0"/>
        <vertAlign val="baseline"/>
        <sz val="10"/>
        <color auto="1"/>
        <name val="Calibri"/>
        <scheme val="minor"/>
      </font>
      <numFmt numFmtId="165" formatCode="d\ mmm\ yyyy"/>
      <fill>
        <patternFill>
          <fgColor indexed="64"/>
          <bgColor indexed="65"/>
        </patternFill>
      </fill>
      <alignment horizontal="left" vertical="top" wrapText="1"/>
    </dxf>
    <dxf>
      <font>
        <strike val="0"/>
        <condense val="0"/>
        <extend val="0"/>
        <outline val="0"/>
        <shadow val="0"/>
        <vertAlign val="baseline"/>
        <sz val="10"/>
        <color theme="1"/>
        <name val="Calibri"/>
        <scheme val="minor"/>
      </font>
      <numFmt numFmtId="165" formatCode="d\ mmm\ yyyy"/>
      <fill>
        <patternFill>
          <fgColor indexed="64"/>
          <bgColor indexed="65"/>
        </patternFill>
      </fill>
      <alignment horizontal="left" vertical="top" wrapText="1"/>
    </dxf>
    <dxf>
      <font>
        <strike val="0"/>
        <condense val="0"/>
        <extend val="0"/>
        <outline val="0"/>
        <shadow val="0"/>
        <vertAlign val="baseline"/>
        <sz val="10"/>
        <color theme="1"/>
        <name val="Calibri"/>
        <scheme val="minor"/>
      </font>
      <numFmt numFmtId="165" formatCode="d\ mmm\ yyyy"/>
      <fill>
        <patternFill>
          <fgColor indexed="64"/>
          <bgColor auto="1"/>
        </patternFill>
      </fill>
      <alignment horizontal="left" vertical="top" wrapText="1"/>
    </dxf>
    <dxf>
      <font>
        <strike val="0"/>
        <condense val="0"/>
        <extend val="0"/>
        <outline val="0"/>
        <shadow val="0"/>
        <vertAlign val="baseline"/>
        <sz val="10"/>
        <color auto="1"/>
        <name val="Calibri"/>
        <scheme val="minor"/>
      </font>
      <numFmt numFmtId="165" formatCode="d\ mmm\ yyyy"/>
      <fill>
        <patternFill>
          <fgColor indexed="64"/>
          <bgColor auto="1"/>
        </patternFill>
      </fill>
      <alignment horizontal="left" vertical="top" wrapText="1"/>
    </dxf>
    <dxf>
      <font>
        <strike val="0"/>
        <condense val="0"/>
        <extend val="0"/>
        <outline val="0"/>
        <shadow val="0"/>
        <vertAlign val="baseline"/>
        <sz val="10"/>
        <color auto="1"/>
        <name val="Calibri"/>
        <scheme val="minor"/>
      </font>
      <fill>
        <patternFill>
          <fgColor indexed="64"/>
          <bgColor auto="1"/>
        </patternFill>
      </fill>
      <alignment horizontal="left" vertical="top" wrapText="1"/>
    </dxf>
    <dxf>
      <font>
        <strike val="0"/>
        <condense val="0"/>
        <extend val="0"/>
        <outline val="0"/>
        <shadow val="0"/>
        <vertAlign val="baseline"/>
        <sz val="10"/>
        <color auto="1"/>
        <name val="Calibri"/>
        <scheme val="minor"/>
      </font>
      <fill>
        <patternFill>
          <fgColor indexed="64"/>
          <bgColor indexed="65"/>
        </patternFill>
      </fill>
      <alignment horizontal="left" vertical="top" wrapText="1"/>
    </dxf>
    <dxf>
      <font>
        <strike val="0"/>
        <condense val="0"/>
        <extend val="0"/>
        <outline val="0"/>
        <shadow val="0"/>
        <vertAlign val="baseline"/>
        <sz val="10"/>
        <color auto="1"/>
        <name val="Calibri"/>
        <scheme val="minor"/>
      </font>
      <fill>
        <patternFill>
          <fgColor indexed="64"/>
          <bgColor auto="1"/>
        </patternFill>
      </fill>
      <alignment horizontal="left" vertical="top" wrapText="1"/>
    </dxf>
    <dxf>
      <font>
        <strike val="0"/>
        <condense val="0"/>
        <extend val="0"/>
        <outline val="0"/>
        <shadow val="0"/>
        <vertAlign val="baseline"/>
        <sz val="10"/>
        <color auto="1"/>
        <name val="Calibri"/>
        <scheme val="minor"/>
      </font>
      <fill>
        <patternFill>
          <fgColor indexed="64"/>
          <bgColor auto="1"/>
        </patternFill>
      </fill>
      <alignment horizontal="left" vertical="top" wrapText="1"/>
    </dxf>
    <dxf>
      <font>
        <strike val="0"/>
        <condense val="0"/>
        <extend val="0"/>
        <outline val="0"/>
        <shadow val="0"/>
        <vertAlign val="baseline"/>
        <sz val="10"/>
        <color auto="1"/>
        <name val="Calibri"/>
        <scheme val="minor"/>
      </font>
      <fill>
        <patternFill>
          <fgColor indexed="64"/>
          <bgColor auto="1"/>
        </patternFill>
      </fill>
      <alignment horizontal="left" vertical="top" wrapText="1"/>
    </dxf>
    <dxf>
      <font>
        <strike val="0"/>
        <condense val="0"/>
        <extend val="0"/>
        <outline val="0"/>
        <shadow val="0"/>
        <vertAlign val="baseline"/>
        <sz val="10"/>
        <color auto="1"/>
        <name val="Calibri"/>
        <scheme val="minor"/>
      </font>
      <fill>
        <patternFill>
          <fgColor indexed="64"/>
          <bgColor auto="1"/>
        </patternFill>
      </fill>
      <alignment horizontal="left" vertical="top" wrapText="1"/>
    </dxf>
    <dxf>
      <font>
        <strike val="0"/>
        <condense val="0"/>
        <extend val="0"/>
        <outline val="0"/>
        <shadow val="0"/>
        <vertAlign val="baseline"/>
        <sz val="10"/>
        <color auto="1"/>
        <name val="Calibri"/>
        <scheme val="minor"/>
      </font>
      <fill>
        <patternFill>
          <fgColor indexed="64"/>
          <bgColor auto="1"/>
        </patternFill>
      </fill>
      <alignment horizontal="left" vertical="top" wrapText="1"/>
    </dxf>
    <dxf>
      <font>
        <strike val="0"/>
        <condense val="0"/>
        <extend val="0"/>
        <outline val="0"/>
        <shadow val="0"/>
        <vertAlign val="baseline"/>
        <sz val="10"/>
        <color auto="1"/>
        <name val="Calibri"/>
        <scheme val="minor"/>
      </font>
      <fill>
        <patternFill>
          <fgColor indexed="64"/>
          <bgColor auto="1"/>
        </patternFill>
      </fill>
      <alignment horizontal="left" vertical="top" wrapText="1"/>
    </dxf>
    <dxf>
      <border outline="0">
        <left style="thin">
          <color rgb="FF000000"/>
        </left>
        <right style="thin">
          <color rgb="FF000000"/>
        </right>
        <top style="thin">
          <color rgb="FF000000"/>
        </top>
        <bottom style="thin">
          <color rgb="FF000000"/>
        </bottom>
      </border>
    </dxf>
    <dxf>
      <font>
        <strike val="0"/>
        <condense val="0"/>
        <extend val="0"/>
        <outline val="0"/>
        <shadow val="0"/>
        <vertAlign val="baseline"/>
        <sz val="10"/>
        <color auto="1"/>
        <name val="Calibri"/>
        <scheme val="minor"/>
      </font>
      <fill>
        <patternFill>
          <fgColor indexed="64"/>
          <bgColor auto="1"/>
        </patternFill>
      </fill>
      <alignment horizontal="left" vertical="top" wrapText="1"/>
    </dxf>
    <dxf>
      <font>
        <b/>
        <strike val="0"/>
        <condense val="0"/>
        <extend val="0"/>
        <outline val="0"/>
        <shadow val="0"/>
        <vertAlign val="baseline"/>
        <sz val="10"/>
        <color theme="1"/>
        <name val="Calibri"/>
        <scheme val="minor"/>
      </font>
      <fill>
        <patternFill patternType="solid">
          <fgColor indexed="64"/>
          <bgColor theme="5" tint="-0.499984740745262"/>
        </patternFill>
      </fill>
      <alignment horizontal="left" vertical="top" wrapText="1"/>
    </dxf>
    <dxf>
      <font>
        <strike val="0"/>
        <condense val="0"/>
        <extend val="0"/>
        <outline val="0"/>
        <shadow val="0"/>
        <u/>
        <vertAlign val="baseline"/>
        <sz val="10"/>
        <color auto="1"/>
        <name val="Calibri"/>
        <scheme val="minor"/>
      </font>
      <numFmt numFmtId="0" formatCode="General"/>
      <fill>
        <patternFill>
          <fgColor indexed="64"/>
          <bgColor indexed="65"/>
        </patternFill>
      </fill>
      <alignment horizontal="left" vertical="top" wrapText="1"/>
    </dxf>
    <dxf>
      <font>
        <strike val="0"/>
        <condense val="0"/>
        <extend val="0"/>
        <outline val="0"/>
        <shadow val="0"/>
        <vertAlign val="baseline"/>
        <sz val="10"/>
        <color auto="1"/>
        <name val="Calibri"/>
        <scheme val="minor"/>
      </font>
      <numFmt numFmtId="165" formatCode="d\ mmm\ yyyy"/>
      <fill>
        <patternFill>
          <fgColor indexed="64"/>
          <bgColor indexed="65"/>
        </patternFill>
      </fill>
      <alignment horizontal="left" vertical="top" wrapText="1"/>
    </dxf>
    <dxf>
      <font>
        <strike val="0"/>
        <condense val="0"/>
        <extend val="0"/>
        <outline val="0"/>
        <shadow val="0"/>
        <vertAlign val="baseline"/>
        <sz val="10"/>
        <color auto="1"/>
        <name val="Calibri"/>
        <scheme val="minor"/>
      </font>
      <numFmt numFmtId="165" formatCode="d\ mmm\ yyyy"/>
      <fill>
        <patternFill>
          <fgColor indexed="64"/>
          <bgColor indexed="65"/>
        </patternFill>
      </fill>
      <alignment horizontal="left" vertical="top" wrapText="1"/>
    </dxf>
    <dxf>
      <font>
        <strike val="0"/>
        <condense val="0"/>
        <extend val="0"/>
        <outline val="0"/>
        <shadow val="0"/>
        <vertAlign val="baseline"/>
        <sz val="10"/>
        <color auto="1"/>
        <name val="Calibri"/>
        <scheme val="minor"/>
      </font>
      <numFmt numFmtId="165" formatCode="d\ mmm\ yyyy"/>
      <fill>
        <patternFill>
          <fgColor indexed="64"/>
          <bgColor indexed="65"/>
        </patternFill>
      </fill>
      <alignment horizontal="left" vertical="top" wrapText="1"/>
    </dxf>
    <dxf>
      <font>
        <strike val="0"/>
        <condense val="0"/>
        <extend val="0"/>
        <outline val="0"/>
        <shadow val="0"/>
        <vertAlign val="baseline"/>
        <sz val="10"/>
        <color auto="1"/>
        <name val="Calibri"/>
        <scheme val="minor"/>
      </font>
      <numFmt numFmtId="165" formatCode="d\ mmm\ yyyy"/>
      <fill>
        <patternFill>
          <fgColor indexed="64"/>
          <bgColor indexed="65"/>
        </patternFill>
      </fill>
      <alignment horizontal="left" vertical="top" wrapText="1"/>
    </dxf>
    <dxf>
      <font>
        <strike val="0"/>
        <condense val="0"/>
        <extend val="0"/>
        <outline val="0"/>
        <shadow val="0"/>
        <vertAlign val="baseline"/>
        <sz val="10"/>
        <color auto="1"/>
        <name val="Calibri"/>
        <scheme val="minor"/>
      </font>
      <numFmt numFmtId="165" formatCode="d\ mmm\ yyyy"/>
      <fill>
        <patternFill>
          <fgColor indexed="64"/>
          <bgColor indexed="65"/>
        </patternFill>
      </fill>
      <alignment horizontal="left" vertical="top" wrapText="1"/>
    </dxf>
    <dxf>
      <font>
        <strike val="0"/>
        <condense val="0"/>
        <extend val="0"/>
        <outline val="0"/>
        <shadow val="0"/>
        <vertAlign val="baseline"/>
        <sz val="10"/>
        <color auto="1"/>
        <name val="Calibri"/>
        <scheme val="minor"/>
      </font>
      <numFmt numFmtId="165" formatCode="d\ mmm\ yyyy"/>
      <fill>
        <patternFill>
          <fgColor indexed="64"/>
          <bgColor indexed="65"/>
        </patternFill>
      </fill>
      <alignment horizontal="left" vertical="top" wrapText="1"/>
    </dxf>
    <dxf>
      <font>
        <strike val="0"/>
        <condense val="0"/>
        <extend val="0"/>
        <outline val="0"/>
        <shadow val="0"/>
        <vertAlign val="baseline"/>
        <sz val="10"/>
        <color auto="1"/>
        <name val="Calibri"/>
        <scheme val="minor"/>
      </font>
      <numFmt numFmtId="165" formatCode="d\ mmm\ yyyy"/>
      <fill>
        <patternFill>
          <fgColor indexed="64"/>
          <bgColor indexed="65"/>
        </patternFill>
      </fill>
      <alignment horizontal="left" vertical="top" wrapText="1"/>
    </dxf>
    <dxf>
      <font>
        <strike val="0"/>
        <condense val="0"/>
        <extend val="0"/>
        <outline val="0"/>
        <shadow val="0"/>
        <vertAlign val="baseline"/>
        <sz val="10"/>
        <color auto="1"/>
        <name val="Calibri"/>
        <scheme val="minor"/>
      </font>
      <fill>
        <patternFill>
          <fgColor indexed="64"/>
          <bgColor indexed="65"/>
        </patternFill>
      </fill>
      <alignment horizontal="left" vertical="top" wrapText="1"/>
    </dxf>
    <dxf>
      <font>
        <strike val="0"/>
        <condense val="0"/>
        <extend val="0"/>
        <outline val="0"/>
        <shadow val="0"/>
        <vertAlign val="baseline"/>
        <sz val="10"/>
        <color auto="1"/>
        <name val="Calibri"/>
        <scheme val="minor"/>
      </font>
      <fill>
        <patternFill>
          <fgColor indexed="64"/>
          <bgColor indexed="65"/>
        </patternFill>
      </fill>
      <alignment horizontal="left" vertical="top" wrapText="1"/>
    </dxf>
    <dxf>
      <font>
        <strike val="0"/>
        <condense val="0"/>
        <extend val="0"/>
        <outline val="0"/>
        <shadow val="0"/>
        <vertAlign val="baseline"/>
        <sz val="10"/>
        <color auto="1"/>
        <name val="Calibri"/>
        <scheme val="minor"/>
      </font>
      <fill>
        <patternFill>
          <fgColor indexed="64"/>
          <bgColor auto="1"/>
        </patternFill>
      </fill>
      <alignment horizontal="left" vertical="top" wrapText="1"/>
    </dxf>
    <dxf>
      <font>
        <strike val="0"/>
        <condense val="0"/>
        <extend val="0"/>
        <outline val="0"/>
        <shadow val="0"/>
        <vertAlign val="baseline"/>
        <sz val="10"/>
        <color auto="1"/>
        <name val="Calibri"/>
        <scheme val="minor"/>
      </font>
      <fill>
        <patternFill>
          <fgColor indexed="64"/>
          <bgColor indexed="65"/>
        </patternFill>
      </fill>
      <alignment horizontal="left" vertical="top" wrapText="1"/>
    </dxf>
    <dxf>
      <font>
        <strike val="0"/>
        <condense val="0"/>
        <extend val="0"/>
        <outline val="0"/>
        <shadow val="0"/>
        <vertAlign val="baseline"/>
        <sz val="10"/>
        <color auto="1"/>
        <name val="Calibri"/>
        <scheme val="minor"/>
      </font>
      <fill>
        <patternFill>
          <fgColor indexed="64"/>
          <bgColor indexed="65"/>
        </patternFill>
      </fill>
      <alignment horizontal="left" vertical="top" wrapText="1"/>
    </dxf>
    <dxf>
      <font>
        <strike val="0"/>
        <condense val="0"/>
        <extend val="0"/>
        <outline val="0"/>
        <shadow val="0"/>
        <vertAlign val="baseline"/>
        <sz val="10"/>
        <color auto="1"/>
        <name val="Calibri"/>
        <scheme val="minor"/>
      </font>
      <fill>
        <patternFill>
          <fgColor indexed="64"/>
          <bgColor indexed="65"/>
        </patternFill>
      </fill>
      <alignment horizontal="left" vertical="top" wrapText="1"/>
    </dxf>
    <dxf>
      <font>
        <strike val="0"/>
        <condense val="0"/>
        <extend val="0"/>
        <outline val="0"/>
        <shadow val="0"/>
        <vertAlign val="baseline"/>
        <sz val="10"/>
        <color auto="1"/>
        <name val="Calibri"/>
        <scheme val="minor"/>
      </font>
      <fill>
        <patternFill>
          <fgColor indexed="64"/>
          <bgColor indexed="65"/>
        </patternFill>
      </fill>
      <alignment horizontal="left" vertical="top" wrapText="1"/>
    </dxf>
    <dxf>
      <font>
        <strike val="0"/>
        <condense val="0"/>
        <extend val="0"/>
        <outline val="0"/>
        <shadow val="0"/>
        <vertAlign val="baseline"/>
        <sz val="10"/>
        <color auto="1"/>
        <name val="Calibri"/>
        <scheme val="minor"/>
      </font>
      <fill>
        <patternFill>
          <fgColor indexed="64"/>
          <bgColor indexed="65"/>
        </patternFill>
      </fill>
      <alignment horizontal="left" vertical="top" wrapText="1"/>
    </dxf>
    <dxf>
      <border outline="0">
        <left style="thin">
          <color rgb="FF000000"/>
        </left>
        <right style="thin">
          <color rgb="FF000000"/>
        </right>
        <top style="thin">
          <color rgb="FF000000"/>
        </top>
        <bottom style="thin">
          <color rgb="FF000000"/>
        </bottom>
      </border>
    </dxf>
    <dxf>
      <font>
        <strike val="0"/>
        <condense val="0"/>
        <extend val="0"/>
        <outline val="0"/>
        <shadow val="0"/>
        <vertAlign val="baseline"/>
        <sz val="10"/>
        <color auto="1"/>
        <name val="Calibri"/>
        <scheme val="minor"/>
      </font>
      <fill>
        <patternFill>
          <fgColor indexed="64"/>
          <bgColor indexed="65"/>
        </patternFill>
      </fill>
      <alignment horizontal="left" vertical="top" wrapText="1"/>
    </dxf>
    <dxf>
      <font>
        <b/>
        <strike val="0"/>
        <condense val="0"/>
        <extend val="0"/>
        <outline val="0"/>
        <shadow val="0"/>
        <vertAlign val="baseline"/>
        <sz val="10"/>
        <color theme="1"/>
        <name val="Calibri"/>
        <scheme val="minor"/>
      </font>
      <fill>
        <patternFill patternType="solid">
          <fgColor indexed="64"/>
          <bgColor theme="5" tint="-0.499984740745262"/>
        </patternFill>
      </fill>
      <alignment horizontal="left" vertical="top" wrapText="1"/>
    </dxf>
    <dxf>
      <font>
        <strike val="0"/>
        <condense val="0"/>
        <extend val="0"/>
        <outline val="0"/>
        <shadow val="0"/>
        <u/>
        <vertAlign val="baseline"/>
        <sz val="10"/>
        <color auto="1"/>
        <name val="Calibri"/>
        <scheme val="minor"/>
      </font>
      <numFmt numFmtId="0" formatCode="General"/>
      <fill>
        <patternFill>
          <fgColor indexed="64"/>
          <bgColor auto="1"/>
        </patternFill>
      </fill>
      <alignment horizontal="left" vertical="top"/>
    </dxf>
    <dxf>
      <font>
        <strike val="0"/>
        <condense val="0"/>
        <extend val="0"/>
        <outline val="0"/>
        <shadow val="0"/>
        <vertAlign val="baseline"/>
        <sz val="10"/>
        <color auto="1"/>
        <name val="Calibri"/>
        <scheme val="minor"/>
      </font>
      <numFmt numFmtId="165" formatCode="d\ mmm\ yyyy"/>
      <fill>
        <patternFill>
          <fgColor indexed="64"/>
          <bgColor indexed="65"/>
        </patternFill>
      </fill>
      <alignment horizontal="left" vertical="top" wrapText="1"/>
    </dxf>
    <dxf>
      <font>
        <strike val="0"/>
        <condense val="0"/>
        <extend val="0"/>
        <outline val="0"/>
        <shadow val="0"/>
        <vertAlign val="baseline"/>
        <sz val="10"/>
        <color auto="1"/>
        <name val="Calibri"/>
        <scheme val="minor"/>
      </font>
      <numFmt numFmtId="165" formatCode="d\ mmm\ yyyy"/>
      <fill>
        <patternFill>
          <fgColor indexed="64"/>
          <bgColor indexed="65"/>
        </patternFill>
      </fill>
      <alignment horizontal="left" vertical="top" wrapText="1"/>
    </dxf>
    <dxf>
      <font>
        <strike val="0"/>
        <condense val="0"/>
        <extend val="0"/>
        <outline val="0"/>
        <shadow val="0"/>
        <vertAlign val="baseline"/>
        <sz val="10"/>
        <color auto="1"/>
        <name val="Calibri"/>
        <scheme val="minor"/>
      </font>
      <numFmt numFmtId="165" formatCode="d\ mmm\ yyyy"/>
      <fill>
        <patternFill>
          <fgColor indexed="64"/>
          <bgColor indexed="65"/>
        </patternFill>
      </fill>
      <alignment horizontal="left" vertical="top" wrapText="1"/>
    </dxf>
    <dxf>
      <font>
        <strike val="0"/>
        <condense val="0"/>
        <extend val="0"/>
        <outline val="0"/>
        <shadow val="0"/>
        <vertAlign val="baseline"/>
        <sz val="10"/>
        <color auto="1"/>
        <name val="Calibri"/>
        <scheme val="minor"/>
      </font>
      <numFmt numFmtId="167" formatCode="m/d/yyyy"/>
      <fill>
        <patternFill>
          <fgColor indexed="64"/>
          <bgColor indexed="65"/>
        </patternFill>
      </fill>
      <alignment horizontal="left" vertical="top" wrapText="1"/>
    </dxf>
    <dxf>
      <font>
        <strike val="0"/>
        <condense val="0"/>
        <extend val="0"/>
        <outline val="0"/>
        <shadow val="0"/>
        <vertAlign val="baseline"/>
        <sz val="10"/>
        <color auto="1"/>
        <name val="Calibri"/>
        <scheme val="minor"/>
      </font>
      <numFmt numFmtId="165" formatCode="d\ mmm\ yyyy"/>
      <fill>
        <patternFill>
          <fgColor indexed="64"/>
          <bgColor indexed="65"/>
        </patternFill>
      </fill>
      <alignment horizontal="left" vertical="top" wrapText="1"/>
    </dxf>
    <dxf>
      <font>
        <strike val="0"/>
        <condense val="0"/>
        <extend val="0"/>
        <outline val="0"/>
        <shadow val="0"/>
        <vertAlign val="baseline"/>
        <sz val="10"/>
        <color auto="1"/>
        <name val="Calibri"/>
        <scheme val="minor"/>
      </font>
      <numFmt numFmtId="165" formatCode="d\ mmm\ yyyy"/>
      <fill>
        <patternFill>
          <fgColor indexed="64"/>
          <bgColor indexed="65"/>
        </patternFill>
      </fill>
      <alignment horizontal="left" vertical="top" wrapText="1"/>
    </dxf>
    <dxf>
      <font>
        <strike val="0"/>
        <condense val="0"/>
        <extend val="0"/>
        <outline val="0"/>
        <shadow val="0"/>
        <vertAlign val="baseline"/>
        <sz val="10"/>
        <color auto="1"/>
        <name val="Calibri"/>
        <scheme val="minor"/>
      </font>
      <numFmt numFmtId="165" formatCode="d\ mmm\ yyyy"/>
      <fill>
        <patternFill>
          <fgColor indexed="64"/>
          <bgColor auto="1"/>
        </patternFill>
      </fill>
      <alignment horizontal="left" vertical="top" wrapText="1"/>
    </dxf>
    <dxf>
      <font>
        <strike val="0"/>
        <condense val="0"/>
        <extend val="0"/>
        <outline val="0"/>
        <shadow val="0"/>
        <vertAlign val="baseline"/>
        <sz val="10"/>
        <color auto="1"/>
        <name val="Calibri"/>
        <scheme val="minor"/>
      </font>
      <fill>
        <patternFill>
          <fgColor indexed="64"/>
          <bgColor indexed="65"/>
        </patternFill>
      </fill>
      <alignment horizontal="left" vertical="top" wrapText="1"/>
    </dxf>
    <dxf>
      <font>
        <strike val="0"/>
        <condense val="0"/>
        <extend val="0"/>
        <outline val="0"/>
        <shadow val="0"/>
        <vertAlign val="baseline"/>
        <sz val="10"/>
        <color theme="1"/>
        <name val="Calibri"/>
        <scheme val="minor"/>
      </font>
      <alignment horizontal="left" vertical="top" wrapText="1"/>
    </dxf>
    <dxf>
      <font>
        <strike val="0"/>
        <condense val="0"/>
        <extend val="0"/>
        <outline val="0"/>
        <shadow val="0"/>
        <vertAlign val="baseline"/>
        <sz val="10"/>
        <color theme="1"/>
        <name val="Calibri"/>
        <scheme val="minor"/>
      </font>
      <fill>
        <patternFill>
          <fgColor indexed="64"/>
          <bgColor indexed="65"/>
        </patternFill>
      </fill>
      <alignment horizontal="left" vertical="top" wrapText="1"/>
    </dxf>
    <dxf>
      <font>
        <strike val="0"/>
        <condense val="0"/>
        <extend val="0"/>
        <outline val="0"/>
        <shadow val="0"/>
        <vertAlign val="baseline"/>
        <sz val="10"/>
        <color auto="1"/>
        <name val="Calibri"/>
        <scheme val="minor"/>
      </font>
      <fill>
        <patternFill>
          <fgColor indexed="64"/>
          <bgColor auto="1"/>
        </patternFill>
      </fill>
      <alignment horizontal="left" vertical="top" wrapText="1"/>
    </dxf>
    <dxf>
      <font>
        <strike val="0"/>
        <condense val="0"/>
        <extend val="0"/>
        <outline val="0"/>
        <shadow val="0"/>
        <vertAlign val="baseline"/>
        <sz val="10"/>
        <color auto="1"/>
        <name val="Calibri"/>
        <scheme val="minor"/>
      </font>
      <fill>
        <patternFill>
          <fgColor indexed="64"/>
          <bgColor auto="1"/>
        </patternFill>
      </fill>
      <alignment horizontal="left" vertical="top" wrapText="1"/>
    </dxf>
    <dxf>
      <font>
        <strike val="0"/>
        <condense val="0"/>
        <extend val="0"/>
        <outline val="0"/>
        <shadow val="0"/>
        <vertAlign val="baseline"/>
        <sz val="10"/>
        <color auto="1"/>
        <name val="Calibri"/>
        <scheme val="minor"/>
      </font>
      <fill>
        <patternFill>
          <fgColor indexed="64"/>
          <bgColor auto="1"/>
        </patternFill>
      </fill>
      <alignment horizontal="left" vertical="top" wrapText="1"/>
    </dxf>
    <dxf>
      <font>
        <strike val="0"/>
        <condense val="0"/>
        <extend val="0"/>
        <outline val="0"/>
        <shadow val="0"/>
        <vertAlign val="baseline"/>
        <sz val="10"/>
        <color auto="1"/>
        <name val="Calibri"/>
        <scheme val="minor"/>
      </font>
      <fill>
        <patternFill>
          <fgColor indexed="64"/>
          <bgColor auto="1"/>
        </patternFill>
      </fill>
      <alignment horizontal="left" vertical="top" wrapText="1"/>
    </dxf>
    <dxf>
      <border>
        <left style="thin">
          <color indexed="64"/>
        </left>
        <right style="thin">
          <color indexed="64"/>
        </right>
        <top style="thin">
          <color indexed="64"/>
        </top>
        <bottom style="thin">
          <color indexed="64"/>
        </bottom>
      </border>
    </dxf>
    <dxf>
      <font>
        <strike val="0"/>
        <condense val="0"/>
        <extend val="0"/>
        <outline val="0"/>
        <shadow val="0"/>
        <vertAlign val="baseline"/>
        <sz val="10"/>
        <color auto="1"/>
        <name val="Calibri"/>
        <scheme val="minor"/>
      </font>
      <fill>
        <patternFill>
          <fgColor indexed="64"/>
          <bgColor auto="1"/>
        </patternFill>
      </fill>
      <alignment horizontal="left" vertical="top" wrapText="1"/>
    </dxf>
    <dxf>
      <font>
        <b/>
        <strike val="0"/>
        <condense val="0"/>
        <extend val="0"/>
        <outline val="0"/>
        <shadow val="0"/>
        <vertAlign val="baseline"/>
        <sz val="10"/>
        <color theme="1"/>
        <name val="Calibri"/>
        <scheme val="minor"/>
      </font>
      <fill>
        <patternFill patternType="solid">
          <fgColor indexed="64"/>
          <bgColor theme="5" tint="-0.499984740745262"/>
        </patternFill>
      </fill>
      <alignment horizontal="left" vertical="top" wrapText="1"/>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123825</xdr:colOff>
      <xdr:row>6</xdr:row>
      <xdr:rowOff>28575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609600" y="190500"/>
          <a:ext cx="5048250" cy="981075"/>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7</xdr:row>
      <xdr:rowOff>0</xdr:rowOff>
    </xdr:from>
    <xdr:to>
      <xdr:col>4</xdr:col>
      <xdr:colOff>457200</xdr:colOff>
      <xdr:row>16</xdr:row>
      <xdr:rowOff>0</xdr:rowOff>
    </xdr:to>
    <xdr:pic>
      <xdr:nvPicPr>
        <xdr:cNvPr id="2" name="Picture 1" descr="https://www.ecb.europa.eu/ecb/orga/escb/shared/img/euromission_280x180.jpg">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81050" y="952500"/>
          <a:ext cx="2667000" cy="1714500"/>
        </a:xfrm>
        <a:prstGeom prst="rect">
          <a:avLst/>
        </a:prstGeom>
        <a:noFill/>
        <a:ln>
          <a:prstDash val="soli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CB%20business%20areas/ESRB/Databases%20and%20programme%20files/Macro%20Prudential%20measures/2015-12-28_Overview_national_macroprudential_measur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s>
    <sheetDataSet>
      <sheetData sheetId="0">
        <row r="309">
          <cell r="F309" t="str">
            <v>Capital conservation buffer</v>
          </cell>
          <cell r="G309" t="str">
            <v>Credit growth and leverage</v>
          </cell>
        </row>
        <row r="310">
          <cell r="F310" t="str">
            <v>Countercyclical capital buffer (CCB)</v>
          </cell>
          <cell r="G310" t="str">
            <v>Maturity mismatch and market illiquidity</v>
          </cell>
        </row>
        <row r="311">
          <cell r="F311" t="str">
            <v>Debt-service-to-income (DSTI)</v>
          </cell>
          <cell r="G311" t="str">
            <v>Exposure concentration</v>
          </cell>
        </row>
        <row r="312">
          <cell r="F312" t="str">
            <v>Global systemically important institutions (G-SII) buffer</v>
          </cell>
          <cell r="G312" t="str">
            <v>Misaligned incentives</v>
          </cell>
        </row>
        <row r="313">
          <cell r="F313" t="str">
            <v>Leverage ratio</v>
          </cell>
          <cell r="G313" t="str">
            <v>Resilience of financial infrastructures</v>
          </cell>
        </row>
        <row r="314">
          <cell r="F314" t="str">
            <v>Liquidity ratio</v>
          </cell>
        </row>
        <row r="315">
          <cell r="F315" t="str">
            <v>Loan amortisation</v>
          </cell>
        </row>
        <row r="316">
          <cell r="F316" t="str">
            <v>Loan maturity</v>
          </cell>
        </row>
        <row r="317">
          <cell r="F317" t="str">
            <v>Loss-given-default (LGD)</v>
          </cell>
        </row>
        <row r="318">
          <cell r="F318" t="str">
            <v>Loan-to-deposit (LTD)</v>
          </cell>
        </row>
        <row r="319">
          <cell r="F319" t="str">
            <v>Loan-to-income (LTI)</v>
          </cell>
        </row>
        <row r="320">
          <cell r="F320" t="str">
            <v>Loan-to-value (LTV)</v>
          </cell>
        </row>
        <row r="321">
          <cell r="F321" t="str">
            <v xml:space="preserve">Other </v>
          </cell>
        </row>
        <row r="322">
          <cell r="F322" t="str">
            <v>Other systemically important institutions (O-SII) buffer</v>
          </cell>
        </row>
        <row r="323">
          <cell r="F323" t="str">
            <v>Pillar II</v>
          </cell>
        </row>
        <row r="324">
          <cell r="F324" t="str">
            <v>Risk weights</v>
          </cell>
        </row>
        <row r="325">
          <cell r="F325" t="str">
            <v>Stress test / sensitivity test</v>
          </cell>
        </row>
        <row r="326">
          <cell r="F326" t="str">
            <v>Systemic risk buffer (SRB)</v>
          </cell>
        </row>
      </sheetData>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3" displayName="Table3" ref="A5:O47" totalsRowShown="0" headerRowDxfId="188" dataDxfId="187" tableBorderDxfId="186">
  <autoFilter ref="A5:O47" xr:uid="{00000000-0009-0000-0100-000001000000}"/>
  <tableColumns count="15">
    <tableColumn id="1" xr3:uid="{00000000-0010-0000-0000-000001000000}" name="Reference of measure" dataDxfId="185"/>
    <tableColumn id="2" xr3:uid="{00000000-0010-0000-0000-000002000000}" name="Country" dataDxfId="184"/>
    <tableColumn id="3" xr3:uid="{00000000-0010-0000-0000-000003000000}" name="Authority" dataDxfId="183"/>
    <tableColumn id="4" xr3:uid="{00000000-0010-0000-0000-000004000000}" name="Year of initiative" dataDxfId="182"/>
    <tableColumn id="5" xr3:uid="{00000000-0010-0000-0000-000005000000}" name="Intermediate Objective" dataDxfId="181"/>
    <tableColumn id="13" xr3:uid="{00000000-0010-0000-0000-00000D000000}" name="Description of measure" dataDxfId="180"/>
    <tableColumn id="8" xr3:uid="{00000000-0010-0000-0000-000008000000}" name="Basis in Union/ National law" dataDxfId="179"/>
    <tableColumn id="6" xr3:uid="{00000000-0010-0000-0000-000006000000}" name="Measure becomes active on" dataDxfId="178"/>
    <tableColumn id="15" xr3:uid="{00000000-0010-0000-0000-00000F000000}" name="Decision made on" dataDxfId="177"/>
    <tableColumn id="11" xr3:uid="{00000000-0010-0000-0000-00000B000000}" name="ESRB notified on" dataDxfId="176"/>
    <tableColumn id="7" xr3:uid="{00000000-0010-0000-0000-000007000000}" name="Present status of measure" dataDxfId="175"/>
    <tableColumn id="16" xr3:uid="{00000000-0010-0000-0000-000010000000}" name="Has the measure been revoked or replaced?" dataDxfId="174"/>
    <tableColumn id="14" xr3:uid="{00000000-0010-0000-0000-00000E000000}" name="Date of revocation/ replacement" dataDxfId="173"/>
    <tableColumn id="12" xr3:uid="{00000000-0010-0000-0000-00000C000000}" name="Note of revocation/ replacement" dataDxfId="172"/>
    <tableColumn id="10" xr3:uid="{00000000-0010-0000-0000-00000A000000}" name="Related links" dataDxfId="171" dataCellStyle="Hyperlink"/>
  </tableColumns>
  <tableStyleInfo name="TableStyleMedium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356" displayName="Table356" ref="A5:P65" totalsRowShown="0" headerRowDxfId="170" dataDxfId="169" tableBorderDxfId="168">
  <autoFilter ref="A5:P65" xr:uid="{00000000-0009-0000-0100-000002000000}"/>
  <tableColumns count="16">
    <tableColumn id="1" xr3:uid="{00000000-0010-0000-0100-000001000000}" name="Reference of measure" dataDxfId="167"/>
    <tableColumn id="2" xr3:uid="{00000000-0010-0000-0100-000002000000}" name="Country" dataDxfId="166"/>
    <tableColumn id="3" xr3:uid="{00000000-0010-0000-0100-000003000000}" name="Authority" dataDxfId="165"/>
    <tableColumn id="4" xr3:uid="{00000000-0010-0000-0100-000004000000}" name="Year initiative" dataDxfId="164"/>
    <tableColumn id="13" xr3:uid="{00000000-0010-0000-0100-00000D000000}" name="Intermediate Objective" dataDxfId="163"/>
    <tableColumn id="5" xr3:uid="{00000000-0010-0000-0100-000005000000}" name="Description of measure" dataDxfId="162"/>
    <tableColumn id="19" xr3:uid="{00000000-0010-0000-0100-000013000000}" name="Number of systemically important institutions" dataDxfId="161"/>
    <tableColumn id="8" xr3:uid="{00000000-0010-0000-0100-000008000000}" name="Basis in Union law" dataDxfId="160"/>
    <tableColumn id="6" xr3:uid="{00000000-0010-0000-0100-000006000000}" name="Measure becomes active on" dataDxfId="159"/>
    <tableColumn id="11" xr3:uid="{00000000-0010-0000-0100-00000B000000}" name="Decision made on" dataDxfId="158"/>
    <tableColumn id="12" xr3:uid="{00000000-0010-0000-0100-00000C000000}" name="ESRB notified on" dataDxfId="157"/>
    <tableColumn id="7" xr3:uid="{00000000-0010-0000-0100-000007000000}" name="Present status of measure" dataDxfId="156"/>
    <tableColumn id="16" xr3:uid="{00000000-0010-0000-0100-000010000000}" name="Has the measure been revoked or replaced?" dataDxfId="155"/>
    <tableColumn id="15" xr3:uid="{00000000-0010-0000-0100-00000F000000}" name="Date of revocation/ replacement" dataDxfId="154"/>
    <tableColumn id="14" xr3:uid="{00000000-0010-0000-0100-00000E000000}" name="Note of revocation/ replacement" dataDxfId="153"/>
    <tableColumn id="10" xr3:uid="{00000000-0010-0000-0100-00000A000000}" name="Related links" dataDxfId="152" dataCellStyle="Hyperlink"/>
  </tableColumns>
  <tableStyleInfo name="TableStyleMedium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567" displayName="Table3567" ref="A5:P326" totalsRowShown="0" headerRowDxfId="151" dataDxfId="150" tableBorderDxfId="149">
  <autoFilter ref="A5:P326" xr:uid="{00000000-0009-0000-0100-000003000000}"/>
  <tableColumns count="16">
    <tableColumn id="1" xr3:uid="{00000000-0010-0000-0200-000001000000}" name="Reference of measure" dataDxfId="148"/>
    <tableColumn id="2" xr3:uid="{00000000-0010-0000-0200-000002000000}" name="Country" dataDxfId="147"/>
    <tableColumn id="3" xr3:uid="{00000000-0010-0000-0200-000003000000}" name="Authority" dataDxfId="146"/>
    <tableColumn id="4" xr3:uid="{00000000-0010-0000-0200-000004000000}" name="Year initiative" dataDxfId="145"/>
    <tableColumn id="13" xr3:uid="{00000000-0010-0000-0200-00000D000000}" name="Intermediate Objective" dataDxfId="144"/>
    <tableColumn id="5" xr3:uid="{00000000-0010-0000-0200-000005000000}" name="Description of measure" dataDxfId="143"/>
    <tableColumn id="9" xr3:uid="{00000000-0010-0000-0200-000009000000}" name="Number of systemically important institutions" dataDxfId="142"/>
    <tableColumn id="8" xr3:uid="{00000000-0010-0000-0200-000008000000}" name="Basis in Union law" dataDxfId="141"/>
    <tableColumn id="6" xr3:uid="{00000000-0010-0000-0200-000006000000}" name="Measure becomes active on" dataDxfId="140"/>
    <tableColumn id="14" xr3:uid="{00000000-0010-0000-0200-00000E000000}" name="Decision made on" dataDxfId="139"/>
    <tableColumn id="11" xr3:uid="{00000000-0010-0000-0200-00000B000000}" name="ESRB notified on" dataDxfId="138"/>
    <tableColumn id="7" xr3:uid="{00000000-0010-0000-0200-000007000000}" name="Present status of measure" dataDxfId="137"/>
    <tableColumn id="16" xr3:uid="{00000000-0010-0000-0200-000010000000}" name="Has the measure been revoked or replaced?" dataDxfId="136"/>
    <tableColumn id="15" xr3:uid="{00000000-0010-0000-0200-00000F000000}" name="Date of revocation/ replacement" dataDxfId="135"/>
    <tableColumn id="12" xr3:uid="{00000000-0010-0000-0200-00000C000000}" name="Note of revocation/ replacement" dataDxfId="134"/>
    <tableColumn id="10" xr3:uid="{00000000-0010-0000-0200-00000A000000}" name="Related links" dataDxfId="133" dataCellStyle="Hyperlink"/>
  </tableColumns>
  <tableStyleInfo name="TableStyleMedium3"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35" displayName="Table35" ref="A5:U112" totalsRowShown="0" headerRowDxfId="132" dataDxfId="131" tableBorderDxfId="130">
  <autoFilter ref="A5:U112" xr:uid="{00000000-0009-0000-0100-000004000000}"/>
  <tableColumns count="21">
    <tableColumn id="1" xr3:uid="{00000000-0010-0000-0300-000001000000}" name="Reference of measure" dataDxfId="129"/>
    <tableColumn id="2" xr3:uid="{00000000-0010-0000-0300-000002000000}" name="Country" dataDxfId="128"/>
    <tableColumn id="3" xr3:uid="{00000000-0010-0000-0300-000003000000}" name="Authority" dataDxfId="127"/>
    <tableColumn id="4" xr3:uid="{00000000-0010-0000-0300-000004000000}" name="Year initiative" dataDxfId="126"/>
    <tableColumn id="13" xr3:uid="{00000000-0010-0000-0300-00000D000000}" name="Intermediate Objective" dataDxfId="125"/>
    <tableColumn id="5" xr3:uid="{00000000-0010-0000-0300-000005000000}" name="Description of measure" dataDxfId="124"/>
    <tableColumn id="8" xr3:uid="{00000000-0010-0000-0300-000008000000}" name="Basis in Union law" dataDxfId="123"/>
    <tableColumn id="16" xr3:uid="{00000000-0010-0000-0300-000010000000}" name="Type of exposures applied to" dataDxfId="122"/>
    <tableColumn id="22" xr3:uid="{00000000-0010-0000-0300-000016000000}" name="Interaction with O-SII" dataDxfId="121"/>
    <tableColumn id="6" xr3:uid="{00000000-0010-0000-0300-000006000000}" name="Measure becomes active on" dataDxfId="120"/>
    <tableColumn id="14" xr3:uid="{00000000-0010-0000-0300-00000E000000}" name="Decision made on" dataDxfId="119"/>
    <tableColumn id="11" xr3:uid="{00000000-0010-0000-0300-00000B000000}" name="ESRB notified on" dataDxfId="118"/>
    <tableColumn id="20" xr3:uid="{00000000-0010-0000-0300-000014000000}" name="Present status of measure" dataDxfId="117"/>
    <tableColumn id="21" xr3:uid="{00000000-0010-0000-0300-000015000000}" name="Parent measure" dataDxfId="116"/>
    <tableColumn id="17" xr3:uid="{00000000-0010-0000-0300-000011000000}" name="Has the measure been revoked or replaced?" dataDxfId="115"/>
    <tableColumn id="15" xr3:uid="{00000000-0010-0000-0300-00000F000000}" name="Date of revocation/ replacement" dataDxfId="114"/>
    <tableColumn id="12" xr3:uid="{00000000-0010-0000-0300-00000C000000}" name="Note of revocation/ replacement" dataDxfId="113"/>
    <tableColumn id="10" xr3:uid="{00000000-0010-0000-0300-00000A000000}" name="Related links" dataDxfId="112" dataCellStyle="Hyperlink"/>
    <tableColumn id="9" xr3:uid="{00000000-0010-0000-0300-000009000000}" name="Reciprocation has been requested" dataDxfId="111" dataCellStyle="Hyperlink"/>
    <tableColumn id="19" xr3:uid="{00000000-0010-0000-0300-000013000000}" name="ESRB recommendation on Reciprocity" dataDxfId="110" dataCellStyle="Hyperlink"/>
    <tableColumn id="18" xr3:uid="{00000000-0010-0000-0300-000012000000}" name="Number of reciprocations" dataDxfId="109" dataCellStyle="Hyperlink"/>
  </tableColumns>
  <tableStyleInfo name="TableStyleMedium3"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352" displayName="Table352" ref="A5:S192" totalsRowShown="0" headerRowDxfId="108" dataDxfId="107" tableBorderDxfId="106">
  <autoFilter ref="A5:S192" xr:uid="{00000000-0009-0000-0100-000005000000}"/>
  <tableColumns count="19">
    <tableColumn id="1" xr3:uid="{00000000-0010-0000-0400-000001000000}" name="Reference of measure" dataDxfId="105"/>
    <tableColumn id="2" xr3:uid="{00000000-0010-0000-0400-000002000000}" name="Country" dataDxfId="104"/>
    <tableColumn id="3" xr3:uid="{00000000-0010-0000-0400-000003000000}" name="Authority" dataDxfId="103"/>
    <tableColumn id="4" xr3:uid="{00000000-0010-0000-0400-000004000000}" name="Year initiative" dataDxfId="102"/>
    <tableColumn id="16" xr3:uid="{00000000-0010-0000-0400-000010000000}" name="Type of measure" dataDxfId="101"/>
    <tableColumn id="13" xr3:uid="{00000000-0010-0000-0400-00000D000000}" name="Intermediate Objective" dataDxfId="100"/>
    <tableColumn id="5" xr3:uid="{00000000-0010-0000-0400-000005000000}" name="Description of measure" dataDxfId="99"/>
    <tableColumn id="8" xr3:uid="{00000000-0010-0000-0400-000008000000}" name="Basis in Union law" dataDxfId="98"/>
    <tableColumn id="6" xr3:uid="{00000000-0010-0000-0400-000006000000}" name="Measure becomes active on" dataDxfId="97"/>
    <tableColumn id="14" xr3:uid="{00000000-0010-0000-0400-00000E000000}" name="Decision made on" dataDxfId="96"/>
    <tableColumn id="20" xr3:uid="{00000000-0010-0000-0400-000014000000}" name="Present status of measure" dataDxfId="95"/>
    <tableColumn id="21" xr3:uid="{00000000-0010-0000-0400-000015000000}" name="Parent measure" dataDxfId="94"/>
    <tableColumn id="17" xr3:uid="{00000000-0010-0000-0400-000011000000}" name="Has the measure been revoked or replaced?" dataDxfId="93"/>
    <tableColumn id="15" xr3:uid="{00000000-0010-0000-0400-00000F000000}" name="Date of revocation/ replacement" dataDxfId="92"/>
    <tableColumn id="12" xr3:uid="{00000000-0010-0000-0400-00000C000000}" name="Note of revocation/ replacement" dataDxfId="91"/>
    <tableColumn id="10" xr3:uid="{00000000-0010-0000-0400-00000A000000}" name="Related links" dataDxfId="90" dataCellStyle="Hyperlink"/>
    <tableColumn id="9" xr3:uid="{00000000-0010-0000-0400-000009000000}" name="Reciprocation has been requested" dataDxfId="89" dataCellStyle="Hyperlink"/>
    <tableColumn id="19" xr3:uid="{00000000-0010-0000-0400-000013000000}" name="ESRB recommendation on Reciprocity" dataDxfId="88" dataCellStyle="Hyperlink"/>
    <tableColumn id="18" xr3:uid="{00000000-0010-0000-0400-000012000000}" name="Number of reciprocations" dataDxfId="87" dataCellStyle="Hyperlink"/>
  </tableColumns>
  <tableStyleInfo name="TableStyleMedium3"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73" displayName="Table73" ref="A5:S558" totalsRowShown="0" headerRowDxfId="86" dataDxfId="85" tableBorderDxfId="84">
  <autoFilter ref="A5:S558" xr:uid="{00000000-0009-0000-0100-000006000000}"/>
  <tableColumns count="19">
    <tableColumn id="1" xr3:uid="{00000000-0010-0000-0500-000001000000}" name="Reference of measure" dataDxfId="83"/>
    <tableColumn id="2" xr3:uid="{00000000-0010-0000-0500-000002000000}" name="Country" dataDxfId="82"/>
    <tableColumn id="3" xr3:uid="{00000000-0010-0000-0500-000003000000}" name="Authority" dataDxfId="81"/>
    <tableColumn id="4" xr3:uid="{00000000-0010-0000-0500-000004000000}" name="Year initiative" dataDxfId="80"/>
    <tableColumn id="5" xr3:uid="{00000000-0010-0000-0500-000005000000}" name="Type of measure" dataDxfId="79"/>
    <tableColumn id="6" xr3:uid="{00000000-0010-0000-0500-000006000000}" name="Intermediate objective" dataDxfId="78"/>
    <tableColumn id="7" xr3:uid="{00000000-0010-0000-0500-000007000000}" name="Description of measure" dataDxfId="77"/>
    <tableColumn id="18" xr3:uid="{00000000-0010-0000-0500-000012000000}" name="De minimis exemption" dataDxfId="76"/>
    <tableColumn id="19" xr3:uid="{00000000-0010-0000-0500-000013000000}" name="Additional information on reciprocation" dataDxfId="75"/>
    <tableColumn id="10" xr3:uid="{00000000-0010-0000-0500-00000A000000}" name="Basis in Union law" dataDxfId="74"/>
    <tableColumn id="8" xr3:uid="{00000000-0010-0000-0500-000008000000}" name="Measure becomes active on" dataDxfId="73"/>
    <tableColumn id="17" xr3:uid="{00000000-0010-0000-0500-000011000000}" name="Decision made on" dataDxfId="72"/>
    <tableColumn id="16" xr3:uid="{00000000-0010-0000-0500-000010000000}" name="ESRB notified on" dataDxfId="71"/>
    <tableColumn id="9" xr3:uid="{00000000-0010-0000-0500-000009000000}" name="Present status of measure" dataDxfId="70"/>
    <tableColumn id="15" xr3:uid="{00000000-0010-0000-0500-00000F000000}" name="Has the measure been revoked or replaced?" dataDxfId="69"/>
    <tableColumn id="14" xr3:uid="{00000000-0010-0000-0500-00000E000000}" name="Date of revocation/ replacement" dataDxfId="68"/>
    <tableColumn id="13" xr3:uid="{00000000-0010-0000-0500-00000D000000}" name="Note of revocation/ replacement" dataDxfId="67"/>
    <tableColumn id="11" xr3:uid="{00000000-0010-0000-0500-00000B000000}" name="Reference of reciprocated measure" dataDxfId="66"/>
    <tableColumn id="12" xr3:uid="{00000000-0010-0000-0500-00000C000000}" name="Related links" dataDxfId="65" dataCellStyle="Hyperlink"/>
  </tableColumns>
  <tableStyleInfo name="TableStyleMedium3"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79" displayName="Table79" ref="A5:AN37" totalsRowShown="0" headerRowDxfId="64" dataDxfId="63" tableBorderDxfId="62">
  <autoFilter ref="A5:AN37" xr:uid="{00000000-0009-0000-0100-000007000000}"/>
  <tableColumns count="40">
    <tableColumn id="1" xr3:uid="{00000000-0010-0000-0600-000001000000}" name="Reference of measure" dataDxfId="61"/>
    <tableColumn id="2" xr3:uid="{00000000-0010-0000-0600-000002000000}" name="Country" dataDxfId="60"/>
    <tableColumn id="3" xr3:uid="{00000000-0010-0000-0600-000003000000}" name="Authority" dataDxfId="59"/>
    <tableColumn id="4" xr3:uid="{00000000-0010-0000-0600-000004000000}" name="Year initiative" dataDxfId="58"/>
    <tableColumn id="5" xr3:uid="{00000000-0010-0000-0600-000005000000}" name="Type of measure" dataDxfId="57"/>
    <tableColumn id="10" xr3:uid="{00000000-0010-0000-0600-00000A000000}" name="Basis in Union law" dataDxfId="56"/>
    <tableColumn id="8" xr3:uid="{00000000-0010-0000-0600-000008000000}" name="Present status of measure" dataDxfId="55"/>
    <tableColumn id="17" xr3:uid="{00000000-0010-0000-0600-000011000000}" name="Reciprocity has been requested" dataDxfId="54"/>
    <tableColumn id="16" xr3:uid="{00000000-0010-0000-0600-000010000000}" name="ESRB recommendation on Reciprocity" dataDxfId="53"/>
    <tableColumn id="15" xr3:uid="{00000000-0010-0000-0600-00000F000000}" name="Austria" dataDxfId="52"/>
    <tableColumn id="14" xr3:uid="{00000000-0010-0000-0600-00000E000000}" name="Belgium" dataDxfId="51"/>
    <tableColumn id="13" xr3:uid="{00000000-0010-0000-0600-00000D000000}" name="Bulgaria" dataDxfId="50"/>
    <tableColumn id="9" xr3:uid="{00000000-0010-0000-0600-000009000000}" name="Cyprus" dataDxfId="49"/>
    <tableColumn id="49" xr3:uid="{00000000-0010-0000-0600-000031000000}" name="Czech Republic" dataDxfId="48"/>
    <tableColumn id="48" xr3:uid="{00000000-0010-0000-0600-000030000000}" name="Germany" dataDxfId="47"/>
    <tableColumn id="12" xr3:uid="{00000000-0010-0000-0600-00000C000000}" name="Denmark" dataDxfId="46" dataCellStyle="Hyperlink"/>
    <tableColumn id="11" xr3:uid="{00000000-0010-0000-0600-00000B000000}" name="Estonia" dataDxfId="45"/>
    <tableColumn id="18" xr3:uid="{00000000-0010-0000-0600-000012000000}" name="Spain" dataDxfId="44"/>
    <tableColumn id="19" xr3:uid="{00000000-0010-0000-0600-000013000000}" name="Finland" dataDxfId="43"/>
    <tableColumn id="20" xr3:uid="{00000000-0010-0000-0600-000014000000}" name="France" dataDxfId="42"/>
    <tableColumn id="21" xr3:uid="{00000000-0010-0000-0600-000015000000}" name="Greece" dataDxfId="41"/>
    <tableColumn id="22" xr3:uid="{00000000-0010-0000-0600-000016000000}" name="Croatia" dataDxfId="40"/>
    <tableColumn id="7" xr3:uid="{00000000-0010-0000-0600-000007000000}" name="Hungary" dataDxfId="39"/>
    <tableColumn id="23" xr3:uid="{00000000-0010-0000-0600-000017000000}" name="Ireland" dataDxfId="38"/>
    <tableColumn id="24" xr3:uid="{00000000-0010-0000-0600-000018000000}" name="Iceland" dataDxfId="37"/>
    <tableColumn id="25" xr3:uid="{00000000-0010-0000-0600-000019000000}" name="Italy" dataDxfId="36"/>
    <tableColumn id="6" xr3:uid="{00000000-0010-0000-0600-000006000000}" name="Liechtenstein" dataDxfId="35"/>
    <tableColumn id="26" xr3:uid="{00000000-0010-0000-0600-00001A000000}" name="Lithuania" dataDxfId="34"/>
    <tableColumn id="27" xr3:uid="{00000000-0010-0000-0600-00001B000000}" name="Luxembourg" dataDxfId="33"/>
    <tableColumn id="28" xr3:uid="{00000000-0010-0000-0600-00001C000000}" name="Latvia" dataDxfId="32"/>
    <tableColumn id="29" xr3:uid="{00000000-0010-0000-0600-00001D000000}" name="Malta" dataDxfId="31"/>
    <tableColumn id="30" xr3:uid="{00000000-0010-0000-0600-00001E000000}" name="Netherlands" dataDxfId="30"/>
    <tableColumn id="31" xr3:uid="{00000000-0010-0000-0600-00001F000000}" name="Norway" dataDxfId="29"/>
    <tableColumn id="32" xr3:uid="{00000000-0010-0000-0600-000020000000}" name="Poland" dataDxfId="28"/>
    <tableColumn id="33" xr3:uid="{00000000-0010-0000-0600-000021000000}" name="Portugal" dataDxfId="27"/>
    <tableColumn id="34" xr3:uid="{00000000-0010-0000-0600-000022000000}" name="Romania" dataDxfId="26"/>
    <tableColumn id="35" xr3:uid="{00000000-0010-0000-0600-000023000000}" name="Sweden" dataDxfId="25"/>
    <tableColumn id="36" xr3:uid="{00000000-0010-0000-0600-000024000000}" name="Slovenia" dataDxfId="24"/>
    <tableColumn id="37" xr3:uid="{00000000-0010-0000-0600-000025000000}" name="Slovakia" dataDxfId="23"/>
    <tableColumn id="38" xr3:uid="{00000000-0010-0000-0600-000026000000}" name="United Kingdom" dataDxfId="22"/>
  </tableColumns>
  <tableStyleInfo name="TableStyleMedium3"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7" displayName="Table7" ref="A5:S109" totalsRowShown="0" headerRowDxfId="21" dataDxfId="20" tableBorderDxfId="19">
  <autoFilter ref="A5:S109" xr:uid="{00000000-0009-0000-0100-000008000000}"/>
  <tableColumns count="19">
    <tableColumn id="1" xr3:uid="{00000000-0010-0000-0700-000001000000}" name="Reference of measure" dataDxfId="18"/>
    <tableColumn id="2" xr3:uid="{00000000-0010-0000-0700-000002000000}" name="Country" dataDxfId="17"/>
    <tableColumn id="3" xr3:uid="{00000000-0010-0000-0700-000003000000}" name="Authority" dataDxfId="16"/>
    <tableColumn id="4" xr3:uid="{00000000-0010-0000-0700-000004000000}" name="Year initiative" dataDxfId="15"/>
    <tableColumn id="5" xr3:uid="{00000000-0010-0000-0700-000005000000}" name="Type of measure" dataDxfId="14"/>
    <tableColumn id="6" xr3:uid="{00000000-0010-0000-0700-000006000000}" name="Intermediate objective" dataDxfId="13"/>
    <tableColumn id="7" xr3:uid="{00000000-0010-0000-0700-000007000000}" name="Description of measure" dataDxfId="12"/>
    <tableColumn id="10" xr3:uid="{00000000-0010-0000-0700-00000A000000}" name="Basis in Union law" dataDxfId="11"/>
    <tableColumn id="8" xr3:uid="{00000000-0010-0000-0700-000008000000}" name="Measure becomes active on" dataDxfId="10"/>
    <tableColumn id="17" xr3:uid="{00000000-0010-0000-0700-000011000000}" name="Decision made on" dataDxfId="9"/>
    <tableColumn id="20" xr3:uid="{00000000-0010-0000-0700-000014000000}" name="Present status of measure" dataDxfId="8"/>
    <tableColumn id="21" xr3:uid="{00000000-0010-0000-0700-000015000000}" name="Parent measure" dataDxfId="7"/>
    <tableColumn id="15" xr3:uid="{00000000-0010-0000-0700-00000F000000}" name="Has the measure been revoked or replaced?" dataDxfId="6"/>
    <tableColumn id="14" xr3:uid="{00000000-0010-0000-0700-00000E000000}" name="Date of revocation/ replacement" dataDxfId="5"/>
    <tableColumn id="13" xr3:uid="{00000000-0010-0000-0700-00000D000000}" name="Note of revocation/replacement" dataDxfId="4"/>
    <tableColumn id="12" xr3:uid="{00000000-0010-0000-0700-00000C000000}" name="Related links" dataDxfId="3" dataCellStyle="Hyperlink"/>
    <tableColumn id="11" xr3:uid="{00000000-0010-0000-0700-00000B000000}" name="Reciprocation has been requested" dataDxfId="2"/>
    <tableColumn id="19" xr3:uid="{00000000-0010-0000-0700-000013000000}" name="ESRB recommended reciprocation" dataDxfId="1"/>
    <tableColumn id="18" xr3:uid="{00000000-0010-0000-0700-000012000000}" name="Number of reciprocations" dataDxfId="0"/>
  </tableColumns>
  <tableStyleInfo name="TableStyleMedium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esrb.europa.eu/home/disclaimer/html/index.en.html" TargetMode="External"/></Relationships>
</file>

<file path=xl/worksheets/_rels/sheet10.xml.rels><?xml version="1.0" encoding="UTF-8" standalone="yes"?>
<Relationships xmlns="http://schemas.openxmlformats.org/package/2006/relationships"><Relationship Id="rId1" Type="http://schemas.openxmlformats.org/officeDocument/2006/relationships/table" Target="../tables/table8.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www.esrb.europa.eu/national_policy/ccb/applicable/html/index.en.html" TargetMode="External"/></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5.xml.rels><?xml version="1.0" encoding="UTF-8" standalone="yes"?>
<Relationships xmlns="http://schemas.openxmlformats.org/package/2006/relationships"><Relationship Id="rId1" Type="http://schemas.openxmlformats.org/officeDocument/2006/relationships/table" Target="../tables/table3.xml"/></Relationships>
</file>

<file path=xl/worksheets/_rels/sheet6.xml.rels><?xml version="1.0" encoding="UTF-8" standalone="yes"?>
<Relationships xmlns="http://schemas.openxmlformats.org/package/2006/relationships"><Relationship Id="rId1" Type="http://schemas.openxmlformats.org/officeDocument/2006/relationships/table" Target="../tables/table4.xml"/></Relationships>
</file>

<file path=xl/worksheets/_rels/sheet7.xml.rels><?xml version="1.0" encoding="UTF-8" standalone="yes"?>
<Relationships xmlns="http://schemas.openxmlformats.org/package/2006/relationships"><Relationship Id="rId1" Type="http://schemas.openxmlformats.org/officeDocument/2006/relationships/table" Target="../tables/table5.xml"/></Relationships>
</file>

<file path=xl/worksheets/_rels/sheet8.xml.rels><?xml version="1.0" encoding="UTF-8" standalone="yes"?>
<Relationships xmlns="http://schemas.openxmlformats.org/package/2006/relationships"><Relationship Id="rId1" Type="http://schemas.openxmlformats.org/officeDocument/2006/relationships/table" Target="../tables/table6.xml"/></Relationships>
</file>

<file path=xl/worksheets/_rels/sheet9.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8:I44"/>
  <sheetViews>
    <sheetView tabSelected="1" zoomScaleNormal="100" workbookViewId="0">
      <selection activeCell="C13" sqref="C13"/>
    </sheetView>
  </sheetViews>
  <sheetFormatPr defaultColWidth="9.140625" defaultRowHeight="15" x14ac:dyDescent="0.25"/>
  <cols>
    <col min="1" max="1" width="10.140625" style="2" customWidth="1"/>
    <col min="2" max="2" width="58.42578125" style="2" customWidth="1"/>
    <col min="3" max="3" width="15.42578125" style="2" customWidth="1"/>
    <col min="4" max="4" width="21.140625" style="2" bestFit="1" customWidth="1"/>
    <col min="5" max="7" width="9.140625" style="2" customWidth="1"/>
    <col min="8" max="8" width="6.5703125" style="2" customWidth="1"/>
    <col min="9" max="9" width="56.140625" style="2" customWidth="1"/>
    <col min="10" max="10" width="9.140625" style="2" customWidth="1"/>
    <col min="11" max="16384" width="9.140625" style="2"/>
  </cols>
  <sheetData>
    <row r="8" spans="2:9" ht="21" customHeight="1" x14ac:dyDescent="0.35">
      <c r="B8" s="40" t="s">
        <v>0</v>
      </c>
      <c r="I8" s="34"/>
    </row>
    <row r="10" spans="2:9" x14ac:dyDescent="0.25">
      <c r="B10" s="3" t="s">
        <v>1</v>
      </c>
      <c r="C10" s="2" t="s">
        <v>2</v>
      </c>
      <c r="I10" s="35" t="s">
        <v>3</v>
      </c>
    </row>
    <row r="11" spans="2:9" x14ac:dyDescent="0.25">
      <c r="B11" s="3" t="s">
        <v>4</v>
      </c>
      <c r="C11" s="2" t="s">
        <v>5</v>
      </c>
      <c r="I11" s="34"/>
    </row>
    <row r="12" spans="2:9" x14ac:dyDescent="0.25">
      <c r="B12" s="4" t="s">
        <v>6</v>
      </c>
      <c r="C12" s="16">
        <v>45700</v>
      </c>
      <c r="I12" s="34"/>
    </row>
    <row r="14" spans="2:9" x14ac:dyDescent="0.25">
      <c r="B14" s="20" t="s">
        <v>7</v>
      </c>
      <c r="I14" s="34"/>
    </row>
    <row r="15" spans="2:9" x14ac:dyDescent="0.25">
      <c r="B15" s="24" t="s">
        <v>8</v>
      </c>
      <c r="I15" s="34"/>
    </row>
    <row r="16" spans="2:9" x14ac:dyDescent="0.25">
      <c r="B16" s="5" t="s">
        <v>9</v>
      </c>
      <c r="I16" s="34"/>
    </row>
    <row r="17" spans="2:3" x14ac:dyDescent="0.25">
      <c r="B17" s="5" t="s">
        <v>10</v>
      </c>
    </row>
    <row r="18" spans="2:3" x14ac:dyDescent="0.25">
      <c r="B18" s="5" t="s">
        <v>11</v>
      </c>
    </row>
    <row r="19" spans="2:3" x14ac:dyDescent="0.25">
      <c r="B19" s="5" t="s">
        <v>12</v>
      </c>
    </row>
    <row r="20" spans="2:3" x14ac:dyDescent="0.25">
      <c r="B20" s="5" t="s">
        <v>13</v>
      </c>
    </row>
    <row r="21" spans="2:3" x14ac:dyDescent="0.25">
      <c r="B21" s="5"/>
    </row>
    <row r="22" spans="2:3" x14ac:dyDescent="0.25">
      <c r="B22" s="30" t="s">
        <v>14</v>
      </c>
    </row>
    <row r="23" spans="2:3" x14ac:dyDescent="0.25">
      <c r="B23" s="30" t="s">
        <v>15</v>
      </c>
    </row>
    <row r="24" spans="2:3" x14ac:dyDescent="0.25">
      <c r="B24" s="5"/>
    </row>
    <row r="25" spans="2:3" x14ac:dyDescent="0.25">
      <c r="B25" s="33" t="s">
        <v>16</v>
      </c>
    </row>
    <row r="26" spans="2:3" x14ac:dyDescent="0.25">
      <c r="B26" s="25" t="s">
        <v>17</v>
      </c>
    </row>
    <row r="27" spans="2:3" x14ac:dyDescent="0.25">
      <c r="B27" s="25" t="s">
        <v>18</v>
      </c>
    </row>
    <row r="28" spans="2:3" x14ac:dyDescent="0.25">
      <c r="B28" s="25" t="s">
        <v>19</v>
      </c>
    </row>
    <row r="29" spans="2:3" x14ac:dyDescent="0.25">
      <c r="B29" s="25" t="s">
        <v>20</v>
      </c>
    </row>
    <row r="30" spans="2:3" x14ac:dyDescent="0.25">
      <c r="B30" s="25" t="s">
        <v>21</v>
      </c>
    </row>
    <row r="31" spans="2:3" x14ac:dyDescent="0.25">
      <c r="B31" s="5"/>
    </row>
    <row r="32" spans="2:3" x14ac:dyDescent="0.25">
      <c r="B32" s="26" t="s">
        <v>22</v>
      </c>
      <c r="C32" s="24"/>
    </row>
    <row r="33" spans="2:2" x14ac:dyDescent="0.25">
      <c r="B33" s="24" t="s">
        <v>8</v>
      </c>
    </row>
    <row r="34" spans="2:2" x14ac:dyDescent="0.25">
      <c r="B34" s="25" t="s">
        <v>23</v>
      </c>
    </row>
    <row r="35" spans="2:2" x14ac:dyDescent="0.25">
      <c r="B35" s="25" t="s">
        <v>24</v>
      </c>
    </row>
    <row r="36" spans="2:2" x14ac:dyDescent="0.25">
      <c r="B36" s="25" t="s">
        <v>25</v>
      </c>
    </row>
    <row r="37" spans="2:2" x14ac:dyDescent="0.25">
      <c r="B37" s="25" t="s">
        <v>26</v>
      </c>
    </row>
    <row r="38" spans="2:2" x14ac:dyDescent="0.25">
      <c r="B38" s="25" t="s">
        <v>27</v>
      </c>
    </row>
    <row r="39" spans="2:2" x14ac:dyDescent="0.25">
      <c r="B39" s="25" t="s">
        <v>28</v>
      </c>
    </row>
    <row r="40" spans="2:2" x14ac:dyDescent="0.25">
      <c r="B40" s="25" t="s">
        <v>29</v>
      </c>
    </row>
    <row r="41" spans="2:2" x14ac:dyDescent="0.25">
      <c r="B41" s="25" t="s">
        <v>30</v>
      </c>
    </row>
    <row r="42" spans="2:2" x14ac:dyDescent="0.25">
      <c r="B42" s="25" t="s">
        <v>31</v>
      </c>
    </row>
    <row r="44" spans="2:2" x14ac:dyDescent="0.25">
      <c r="B44" s="26" t="s">
        <v>32</v>
      </c>
    </row>
  </sheetData>
  <hyperlinks>
    <hyperlink ref="I10" r:id="rId1" xr:uid="{00000000-0004-0000-0000-000000000000}"/>
    <hyperlink ref="B16" location="CCoB!A1" display="CCoB - Capital Conservation Buffer" xr:uid="{00000000-0004-0000-0000-000001000000}"/>
    <hyperlink ref="B17" location="CCyB!A1" display="CCyB - Contercyclical Capital Buffer" xr:uid="{00000000-0004-0000-0000-000002000000}"/>
    <hyperlink ref="B18" location="'G-SII'!A1" display="G-SII buffer - Global Systemically Important Institution Buffer" xr:uid="{00000000-0004-0000-0000-000003000000}"/>
    <hyperlink ref="B19" location="'O-SII'!A1" display="O-SII buffer - Other Systemically Important Institution Buffer" xr:uid="{00000000-0004-0000-0000-000004000000}"/>
    <hyperlink ref="B20" location="SRB!A1" display="SRB - Systemic Risk Buffer" xr:uid="{00000000-0004-0000-0000-000005000000}"/>
    <hyperlink ref="B22" location="'Reciprocation (recognition)'!A1" display="Reciprocation of measures" xr:uid="{00000000-0004-0000-0000-000006000000}"/>
    <hyperlink ref="B23" location="'Matrix of reciprocation'!A1" display="Matrix of reciprocation" xr:uid="{00000000-0004-0000-0000-000007000000}"/>
    <hyperlink ref="B25" location="BoBM!A1" display="Borrower Based measures" xr:uid="{00000000-0004-0000-0000-000008000000}"/>
    <hyperlink ref="B32" location="'Other measures'!A1" display="Other measures" xr:uid="{00000000-0004-0000-0000-000009000000}"/>
    <hyperlink ref="B44" location="Glossary!A1" display="Glossary" xr:uid="{00000000-0004-0000-0000-00000A000000}"/>
  </hyperlinks>
  <pageMargins left="0.7" right="0.7" top="0.75" bottom="0.75" header="0.3" footer="0.3"/>
  <pageSetup paperSize="9" scale="83" fitToHeight="0" orientation="portrait"/>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V109"/>
  <sheetViews>
    <sheetView zoomScaleNormal="100" workbookViewId="0">
      <selection activeCell="D7" sqref="D7"/>
    </sheetView>
  </sheetViews>
  <sheetFormatPr defaultColWidth="9.140625" defaultRowHeight="15" x14ac:dyDescent="0.25"/>
  <cols>
    <col min="1" max="1" width="12.5703125" style="17" customWidth="1"/>
    <col min="2" max="2" width="11.5703125" style="1" bestFit="1" customWidth="1"/>
    <col min="3" max="3" width="15.5703125" style="17" customWidth="1"/>
    <col min="4" max="4" width="25.5703125" style="17" customWidth="1"/>
    <col min="5" max="7" width="12.5703125" style="17" customWidth="1"/>
    <col min="8" max="8" width="70.5703125" style="17" customWidth="1"/>
    <col min="9" max="9" width="15.5703125" style="17" customWidth="1"/>
    <col min="10" max="11" width="17.5703125" style="31" customWidth="1"/>
    <col min="12" max="13" width="12.5703125" style="17" customWidth="1"/>
    <col min="14" max="14" width="20.5703125" style="17" customWidth="1"/>
    <col min="15" max="15" width="20.5703125" style="31" customWidth="1"/>
    <col min="16" max="16" width="20.5703125" style="17" customWidth="1"/>
    <col min="17" max="17" width="40.5703125" style="10" customWidth="1"/>
    <col min="18" max="20" width="18.5703125" style="17" customWidth="1"/>
    <col min="21" max="21" width="8.85546875" style="1" customWidth="1"/>
    <col min="22" max="22" width="11.42578125" style="17" bestFit="1" customWidth="1"/>
    <col min="23" max="23" width="18.5703125" style="12" customWidth="1"/>
    <col min="24" max="24" width="9.140625" style="12" customWidth="1"/>
    <col min="25" max="16384" width="9.140625" style="12"/>
  </cols>
  <sheetData>
    <row r="1" spans="1:22" s="8" customFormat="1" ht="12.95" customHeight="1" x14ac:dyDescent="0.25">
      <c r="A1" s="48" t="s">
        <v>33</v>
      </c>
      <c r="B1" s="12"/>
      <c r="C1" s="12"/>
      <c r="D1" s="12"/>
      <c r="E1" s="12"/>
      <c r="F1" s="12"/>
      <c r="G1" s="12"/>
      <c r="H1" s="12"/>
      <c r="I1" s="12"/>
      <c r="J1" s="37"/>
      <c r="K1" s="37"/>
      <c r="L1" s="12"/>
      <c r="M1" s="12"/>
      <c r="N1" s="12"/>
      <c r="O1" s="37"/>
      <c r="P1" s="12"/>
      <c r="Q1" s="12"/>
      <c r="R1" s="12"/>
      <c r="S1" s="12"/>
      <c r="T1" s="12"/>
    </row>
    <row r="2" spans="1:22" s="8" customFormat="1" ht="12.95" customHeight="1" x14ac:dyDescent="0.25">
      <c r="A2" s="39"/>
      <c r="B2" s="12"/>
      <c r="C2" s="12"/>
      <c r="D2" s="12"/>
      <c r="E2" s="12"/>
      <c r="F2" s="12"/>
      <c r="G2" s="12"/>
      <c r="H2" s="12"/>
      <c r="I2" s="12"/>
      <c r="J2" s="37"/>
      <c r="K2" s="37"/>
      <c r="L2" s="12"/>
      <c r="M2" s="12"/>
      <c r="N2" s="12"/>
      <c r="O2" s="37"/>
      <c r="P2" s="12"/>
      <c r="Q2" s="12"/>
      <c r="R2" s="12"/>
      <c r="S2" s="12"/>
      <c r="T2" s="12"/>
    </row>
    <row r="3" spans="1:22" s="8" customFormat="1" ht="21" customHeight="1" x14ac:dyDescent="0.35">
      <c r="A3" s="50" t="s">
        <v>22</v>
      </c>
      <c r="B3" s="12"/>
      <c r="C3" s="12"/>
      <c r="D3" s="12"/>
      <c r="E3" s="12"/>
      <c r="F3" s="12"/>
      <c r="G3" s="12"/>
      <c r="H3" s="12"/>
      <c r="I3" s="12"/>
      <c r="J3" s="37"/>
      <c r="K3" s="37"/>
      <c r="L3" s="12"/>
      <c r="M3" s="12"/>
      <c r="N3" s="12"/>
      <c r="O3" s="37"/>
      <c r="P3" s="12"/>
      <c r="Q3" s="12"/>
      <c r="R3" s="12"/>
      <c r="S3" s="12"/>
      <c r="T3" s="12"/>
    </row>
    <row r="4" spans="1:22" s="8" customFormat="1" ht="12.95" customHeight="1" x14ac:dyDescent="0.25">
      <c r="A4" s="39"/>
      <c r="B4" s="12"/>
      <c r="C4" s="12"/>
      <c r="D4" s="12"/>
      <c r="E4" s="12"/>
      <c r="F4" s="12"/>
      <c r="G4" s="12"/>
      <c r="H4" s="12"/>
      <c r="I4" s="12"/>
      <c r="J4" s="59" t="s">
        <v>35</v>
      </c>
      <c r="K4" s="60"/>
      <c r="L4" s="12"/>
      <c r="M4" s="12"/>
      <c r="N4" s="58" t="s">
        <v>36</v>
      </c>
      <c r="O4" s="60"/>
      <c r="P4" s="61"/>
      <c r="Q4" s="12"/>
      <c r="R4" s="54" t="s">
        <v>1086</v>
      </c>
      <c r="S4" s="60"/>
      <c r="T4" s="61"/>
    </row>
    <row r="5" spans="1:22" s="17" customFormat="1" ht="26.1" customHeight="1" x14ac:dyDescent="0.2">
      <c r="A5" s="41" t="s">
        <v>37</v>
      </c>
      <c r="B5" s="41" t="s">
        <v>38</v>
      </c>
      <c r="C5" s="41" t="s">
        <v>39</v>
      </c>
      <c r="D5" s="41" t="s">
        <v>208</v>
      </c>
      <c r="E5" s="41" t="s">
        <v>1375</v>
      </c>
      <c r="F5" s="41" t="s">
        <v>1857</v>
      </c>
      <c r="G5" s="41" t="s">
        <v>42</v>
      </c>
      <c r="H5" s="41" t="s">
        <v>210</v>
      </c>
      <c r="I5" s="42" t="s">
        <v>44</v>
      </c>
      <c r="J5" s="42" t="s">
        <v>45</v>
      </c>
      <c r="K5" s="43" t="s">
        <v>47</v>
      </c>
      <c r="L5" s="43" t="s">
        <v>1089</v>
      </c>
      <c r="M5" s="43" t="s">
        <v>48</v>
      </c>
      <c r="N5" s="42" t="s">
        <v>49</v>
      </c>
      <c r="O5" s="43" t="s">
        <v>3129</v>
      </c>
      <c r="P5" s="41" t="s">
        <v>51</v>
      </c>
      <c r="Q5" s="41" t="s">
        <v>1090</v>
      </c>
      <c r="R5" s="41" t="s">
        <v>3130</v>
      </c>
      <c r="S5" s="41" t="s">
        <v>1092</v>
      </c>
    </row>
    <row r="6" spans="1:22" s="13" customFormat="1" ht="26.1" customHeight="1" x14ac:dyDescent="0.25">
      <c r="A6" s="12" t="s">
        <v>3131</v>
      </c>
      <c r="B6" s="12" t="s">
        <v>53</v>
      </c>
      <c r="C6" s="12" t="s">
        <v>54</v>
      </c>
      <c r="D6" s="12" t="s">
        <v>83</v>
      </c>
      <c r="E6" s="12" t="s">
        <v>3132</v>
      </c>
      <c r="F6" s="12" t="s">
        <v>1167</v>
      </c>
      <c r="G6" s="12" t="s">
        <v>3133</v>
      </c>
      <c r="H6" s="12" t="s">
        <v>90</v>
      </c>
      <c r="I6" s="45">
        <v>42887</v>
      </c>
      <c r="J6" s="45">
        <v>42887</v>
      </c>
      <c r="K6" s="12" t="s">
        <v>59</v>
      </c>
      <c r="L6" s="12"/>
      <c r="M6" s="12" t="s">
        <v>60</v>
      </c>
      <c r="N6" s="45"/>
      <c r="O6" s="12"/>
      <c r="P6" s="12"/>
      <c r="Q6" s="12" t="s">
        <v>60</v>
      </c>
      <c r="R6" s="12"/>
      <c r="S6" s="12"/>
    </row>
    <row r="7" spans="1:22" ht="156" customHeight="1" x14ac:dyDescent="0.25">
      <c r="A7" s="12" t="s">
        <v>3134</v>
      </c>
      <c r="B7" s="12" t="s">
        <v>62</v>
      </c>
      <c r="C7" s="12" t="s">
        <v>63</v>
      </c>
      <c r="D7" s="12" t="s">
        <v>67</v>
      </c>
      <c r="E7" s="12" t="s">
        <v>28</v>
      </c>
      <c r="F7" s="12" t="s">
        <v>212</v>
      </c>
      <c r="G7" s="12" t="s">
        <v>3135</v>
      </c>
      <c r="H7" s="12" t="s">
        <v>3128</v>
      </c>
      <c r="I7" s="45">
        <v>41766</v>
      </c>
      <c r="J7" s="45">
        <v>41773</v>
      </c>
      <c r="K7" s="12" t="s">
        <v>59</v>
      </c>
      <c r="L7" s="12"/>
      <c r="M7" s="12" t="s">
        <v>60</v>
      </c>
      <c r="N7" s="45"/>
      <c r="O7" s="12"/>
      <c r="P7" s="12"/>
      <c r="Q7" s="12" t="s">
        <v>60</v>
      </c>
      <c r="R7" s="12"/>
      <c r="S7" s="12"/>
      <c r="T7" s="1"/>
      <c r="U7" s="17"/>
      <c r="V7" s="12"/>
    </row>
    <row r="8" spans="1:22" ht="51.95" customHeight="1" x14ac:dyDescent="0.25">
      <c r="A8" s="12" t="s">
        <v>3100</v>
      </c>
      <c r="B8" s="12" t="s">
        <v>62</v>
      </c>
      <c r="C8" s="12" t="s">
        <v>63</v>
      </c>
      <c r="D8" s="12" t="s">
        <v>77</v>
      </c>
      <c r="E8" s="12" t="s">
        <v>3098</v>
      </c>
      <c r="F8" s="12" t="s">
        <v>56</v>
      </c>
      <c r="G8" s="12" t="s">
        <v>3136</v>
      </c>
      <c r="H8" s="12" t="s">
        <v>3101</v>
      </c>
      <c r="I8" s="45">
        <v>42518</v>
      </c>
      <c r="J8" s="45"/>
      <c r="K8" s="12" t="s">
        <v>59</v>
      </c>
      <c r="L8" s="12" t="s">
        <v>3104</v>
      </c>
      <c r="M8" s="12" t="s">
        <v>215</v>
      </c>
      <c r="N8" s="45">
        <v>42883</v>
      </c>
      <c r="O8" s="12" t="s">
        <v>3137</v>
      </c>
      <c r="P8" s="12" t="s">
        <v>3138</v>
      </c>
      <c r="Q8" s="12" t="s">
        <v>215</v>
      </c>
      <c r="R8" s="12" t="s">
        <v>3103</v>
      </c>
      <c r="S8" s="12">
        <v>20</v>
      </c>
      <c r="T8" s="1"/>
      <c r="U8" s="17"/>
      <c r="V8" s="12"/>
    </row>
    <row r="9" spans="1:22" ht="273" customHeight="1" x14ac:dyDescent="0.25">
      <c r="A9" s="12" t="s">
        <v>3104</v>
      </c>
      <c r="B9" s="12" t="s">
        <v>62</v>
      </c>
      <c r="C9" s="12" t="s">
        <v>63</v>
      </c>
      <c r="D9" s="12" t="s">
        <v>88</v>
      </c>
      <c r="E9" s="12" t="s">
        <v>3098</v>
      </c>
      <c r="F9" s="12" t="s">
        <v>56</v>
      </c>
      <c r="G9" s="12" t="s">
        <v>3139</v>
      </c>
      <c r="H9" s="12" t="s">
        <v>1880</v>
      </c>
      <c r="I9" s="45">
        <v>41640</v>
      </c>
      <c r="J9" s="45">
        <v>41579</v>
      </c>
      <c r="K9" s="12" t="s">
        <v>91</v>
      </c>
      <c r="L9" s="12"/>
      <c r="M9" s="12" t="s">
        <v>215</v>
      </c>
      <c r="N9" s="45">
        <v>42883</v>
      </c>
      <c r="O9" s="12" t="s">
        <v>3140</v>
      </c>
      <c r="P9" s="12" t="s">
        <v>3141</v>
      </c>
      <c r="Q9" s="12" t="s">
        <v>215</v>
      </c>
      <c r="R9" s="12"/>
      <c r="S9" s="12">
        <v>4</v>
      </c>
      <c r="T9" s="1"/>
      <c r="U9" s="17"/>
      <c r="V9" s="12"/>
    </row>
    <row r="10" spans="1:22" ht="51.95" customHeight="1" x14ac:dyDescent="0.25">
      <c r="A10" s="12" t="s">
        <v>3097</v>
      </c>
      <c r="B10" s="12" t="s">
        <v>62</v>
      </c>
      <c r="C10" s="12" t="s">
        <v>63</v>
      </c>
      <c r="D10" s="12" t="s">
        <v>55</v>
      </c>
      <c r="E10" s="12" t="s">
        <v>3098</v>
      </c>
      <c r="F10" s="12" t="s">
        <v>56</v>
      </c>
      <c r="G10" s="12" t="s">
        <v>3142</v>
      </c>
      <c r="H10" s="12" t="s">
        <v>1867</v>
      </c>
      <c r="I10" s="45">
        <v>43220</v>
      </c>
      <c r="J10" s="45">
        <v>43220</v>
      </c>
      <c r="K10" s="12" t="s">
        <v>91</v>
      </c>
      <c r="L10" s="12" t="s">
        <v>3104</v>
      </c>
      <c r="M10" s="12" t="s">
        <v>215</v>
      </c>
      <c r="N10" s="45">
        <v>44681</v>
      </c>
      <c r="O10" s="12"/>
      <c r="P10" s="12"/>
      <c r="Q10" s="12" t="s">
        <v>215</v>
      </c>
      <c r="R10" s="12" t="s">
        <v>1195</v>
      </c>
      <c r="S10" s="12">
        <v>31</v>
      </c>
      <c r="T10" s="1"/>
      <c r="U10" s="17"/>
      <c r="V10" s="12"/>
    </row>
    <row r="11" spans="1:22" ht="51.95" customHeight="1" x14ac:dyDescent="0.25">
      <c r="A11" s="12" t="s">
        <v>3143</v>
      </c>
      <c r="B11" s="12" t="s">
        <v>65</v>
      </c>
      <c r="C11" s="12" t="s">
        <v>66</v>
      </c>
      <c r="D11" s="12" t="s">
        <v>1490</v>
      </c>
      <c r="E11" s="12" t="s">
        <v>3132</v>
      </c>
      <c r="F11" s="12" t="s">
        <v>1167</v>
      </c>
      <c r="G11" s="12" t="s">
        <v>3144</v>
      </c>
      <c r="H11" s="12" t="s">
        <v>90</v>
      </c>
      <c r="I11" s="45">
        <v>40252</v>
      </c>
      <c r="J11" s="45"/>
      <c r="K11" s="12" t="s">
        <v>91</v>
      </c>
      <c r="L11" s="12"/>
      <c r="M11" s="12" t="s">
        <v>215</v>
      </c>
      <c r="N11" s="45"/>
      <c r="O11" s="12" t="s">
        <v>3145</v>
      </c>
      <c r="P11" s="12" t="s">
        <v>3146</v>
      </c>
      <c r="Q11" s="12" t="s">
        <v>60</v>
      </c>
      <c r="R11" s="12"/>
      <c r="S11" s="12"/>
      <c r="T11" s="1"/>
      <c r="U11" s="17"/>
      <c r="V11" s="12"/>
    </row>
    <row r="12" spans="1:22" ht="51.95" customHeight="1" x14ac:dyDescent="0.25">
      <c r="A12" s="12" t="s">
        <v>3147</v>
      </c>
      <c r="B12" s="12" t="s">
        <v>65</v>
      </c>
      <c r="C12" s="12" t="s">
        <v>66</v>
      </c>
      <c r="D12" s="12" t="s">
        <v>1561</v>
      </c>
      <c r="E12" s="12" t="s">
        <v>3132</v>
      </c>
      <c r="F12" s="12" t="s">
        <v>1167</v>
      </c>
      <c r="G12" s="12" t="s">
        <v>3148</v>
      </c>
      <c r="H12" s="12" t="s">
        <v>90</v>
      </c>
      <c r="I12" s="45">
        <v>41061</v>
      </c>
      <c r="J12" s="45"/>
      <c r="K12" s="12" t="s">
        <v>91</v>
      </c>
      <c r="L12" s="12"/>
      <c r="M12" s="12" t="s">
        <v>215</v>
      </c>
      <c r="N12" s="45"/>
      <c r="O12" s="12" t="s">
        <v>3145</v>
      </c>
      <c r="P12" s="12" t="s">
        <v>3146</v>
      </c>
      <c r="Q12" s="12" t="s">
        <v>60</v>
      </c>
      <c r="R12" s="12"/>
      <c r="S12" s="12"/>
      <c r="T12" s="1"/>
      <c r="U12" s="17"/>
      <c r="V12" s="12"/>
    </row>
    <row r="13" spans="1:22" ht="51.95" customHeight="1" x14ac:dyDescent="0.25">
      <c r="A13" s="12" t="s">
        <v>3149</v>
      </c>
      <c r="B13" s="12" t="s">
        <v>65</v>
      </c>
      <c r="C13" s="12" t="s">
        <v>66</v>
      </c>
      <c r="D13" s="12" t="s">
        <v>3150</v>
      </c>
      <c r="E13" s="12" t="s">
        <v>3132</v>
      </c>
      <c r="F13" s="12" t="s">
        <v>1307</v>
      </c>
      <c r="G13" s="12" t="s">
        <v>3151</v>
      </c>
      <c r="H13" s="12" t="s">
        <v>90</v>
      </c>
      <c r="I13" s="45">
        <v>39819</v>
      </c>
      <c r="J13" s="45"/>
      <c r="K13" s="12" t="s">
        <v>91</v>
      </c>
      <c r="L13" s="12"/>
      <c r="M13" s="12" t="s">
        <v>215</v>
      </c>
      <c r="N13" s="45"/>
      <c r="O13" s="12" t="s">
        <v>3152</v>
      </c>
      <c r="P13" s="12"/>
      <c r="Q13" s="12" t="s">
        <v>60</v>
      </c>
      <c r="R13" s="12"/>
      <c r="S13" s="12"/>
      <c r="T13" s="1"/>
      <c r="U13" s="17"/>
      <c r="V13" s="12"/>
    </row>
    <row r="14" spans="1:22" ht="78" customHeight="1" x14ac:dyDescent="0.25">
      <c r="A14" s="12" t="s">
        <v>3153</v>
      </c>
      <c r="B14" s="12" t="s">
        <v>65</v>
      </c>
      <c r="C14" s="12" t="s">
        <v>66</v>
      </c>
      <c r="D14" s="12" t="s">
        <v>3150</v>
      </c>
      <c r="E14" s="12" t="s">
        <v>24</v>
      </c>
      <c r="F14" s="12" t="s">
        <v>1770</v>
      </c>
      <c r="G14" s="12" t="s">
        <v>3154</v>
      </c>
      <c r="H14" s="12" t="s">
        <v>90</v>
      </c>
      <c r="I14" s="45">
        <v>39819</v>
      </c>
      <c r="J14" s="45"/>
      <c r="K14" s="12" t="s">
        <v>91</v>
      </c>
      <c r="L14" s="12"/>
      <c r="M14" s="12" t="s">
        <v>215</v>
      </c>
      <c r="N14" s="45"/>
      <c r="O14" s="12" t="s">
        <v>3155</v>
      </c>
      <c r="P14" s="12"/>
      <c r="Q14" s="12" t="s">
        <v>60</v>
      </c>
      <c r="R14" s="12"/>
      <c r="S14" s="12"/>
      <c r="T14" s="1"/>
      <c r="U14" s="17"/>
      <c r="V14" s="12"/>
    </row>
    <row r="15" spans="1:22" ht="143.1" customHeight="1" x14ac:dyDescent="0.25">
      <c r="A15" s="12" t="s">
        <v>3156</v>
      </c>
      <c r="B15" s="12" t="s">
        <v>65</v>
      </c>
      <c r="C15" s="12" t="s">
        <v>66</v>
      </c>
      <c r="D15" s="12" t="s">
        <v>67</v>
      </c>
      <c r="E15" s="12" t="s">
        <v>3132</v>
      </c>
      <c r="F15" s="12" t="s">
        <v>1167</v>
      </c>
      <c r="G15" s="12" t="s">
        <v>3157</v>
      </c>
      <c r="H15" s="12" t="s">
        <v>90</v>
      </c>
      <c r="I15" s="45">
        <v>42005</v>
      </c>
      <c r="J15" s="45"/>
      <c r="K15" s="12" t="s">
        <v>59</v>
      </c>
      <c r="L15" s="12"/>
      <c r="M15" s="12" t="s">
        <v>60</v>
      </c>
      <c r="N15" s="45"/>
      <c r="O15" s="12"/>
      <c r="P15" s="12"/>
      <c r="Q15" s="12" t="s">
        <v>60</v>
      </c>
      <c r="R15" s="12"/>
      <c r="S15" s="12"/>
      <c r="T15" s="1"/>
      <c r="U15" s="17"/>
      <c r="V15" s="12"/>
    </row>
    <row r="16" spans="1:22" ht="104.1" customHeight="1" x14ac:dyDescent="0.25">
      <c r="A16" s="12" t="s">
        <v>3158</v>
      </c>
      <c r="B16" s="12" t="s">
        <v>71</v>
      </c>
      <c r="C16" s="12" t="s">
        <v>72</v>
      </c>
      <c r="D16" s="12" t="s">
        <v>77</v>
      </c>
      <c r="E16" s="12" t="s">
        <v>3159</v>
      </c>
      <c r="F16" s="12" t="s">
        <v>56</v>
      </c>
      <c r="G16" s="12" t="s">
        <v>3160</v>
      </c>
      <c r="H16" s="12" t="s">
        <v>3161</v>
      </c>
      <c r="I16" s="45">
        <v>42370</v>
      </c>
      <c r="J16" s="45">
        <v>42359</v>
      </c>
      <c r="K16" s="12" t="s">
        <v>59</v>
      </c>
      <c r="L16" s="12"/>
      <c r="M16" s="12" t="s">
        <v>60</v>
      </c>
      <c r="N16" s="45"/>
      <c r="O16" s="12"/>
      <c r="P16" s="12" t="s">
        <v>3162</v>
      </c>
      <c r="Q16" s="12" t="s">
        <v>60</v>
      </c>
      <c r="R16" s="12"/>
      <c r="S16" s="12"/>
      <c r="T16" s="1"/>
      <c r="U16" s="17"/>
      <c r="V16" s="12"/>
    </row>
    <row r="17" spans="1:22" ht="26.1" customHeight="1" x14ac:dyDescent="0.25">
      <c r="A17" s="12" t="s">
        <v>3163</v>
      </c>
      <c r="B17" s="12" t="s">
        <v>71</v>
      </c>
      <c r="C17" s="12" t="s">
        <v>72</v>
      </c>
      <c r="D17" s="12" t="s">
        <v>252</v>
      </c>
      <c r="E17" s="12" t="s">
        <v>3164</v>
      </c>
      <c r="F17" s="12" t="s">
        <v>56</v>
      </c>
      <c r="G17" s="12" t="s">
        <v>3165</v>
      </c>
      <c r="H17" s="12" t="s">
        <v>3161</v>
      </c>
      <c r="I17" s="45">
        <v>45658</v>
      </c>
      <c r="J17" s="45">
        <v>45678</v>
      </c>
      <c r="K17" s="12" t="s">
        <v>59</v>
      </c>
      <c r="L17" s="12"/>
      <c r="M17" s="12" t="s">
        <v>60</v>
      </c>
      <c r="N17" s="45"/>
      <c r="O17" s="12"/>
      <c r="P17" s="12" t="s">
        <v>3166</v>
      </c>
      <c r="Q17" s="12" t="s">
        <v>60</v>
      </c>
      <c r="R17" s="12"/>
      <c r="S17" s="12"/>
      <c r="T17" s="1"/>
      <c r="U17" s="17"/>
      <c r="V17" s="12"/>
    </row>
    <row r="18" spans="1:22" ht="39" customHeight="1" x14ac:dyDescent="0.25">
      <c r="A18" s="12" t="s">
        <v>3167</v>
      </c>
      <c r="B18" s="12" t="s">
        <v>71</v>
      </c>
      <c r="C18" s="12" t="s">
        <v>72</v>
      </c>
      <c r="D18" s="12" t="s">
        <v>252</v>
      </c>
      <c r="E18" s="12" t="s">
        <v>3159</v>
      </c>
      <c r="F18" s="12" t="s">
        <v>56</v>
      </c>
      <c r="G18" s="12" t="s">
        <v>3168</v>
      </c>
      <c r="H18" s="12" t="s">
        <v>3161</v>
      </c>
      <c r="I18" s="45">
        <v>45658</v>
      </c>
      <c r="J18" s="45">
        <v>45678</v>
      </c>
      <c r="K18" s="12" t="s">
        <v>59</v>
      </c>
      <c r="L18" s="12"/>
      <c r="M18" s="12" t="s">
        <v>60</v>
      </c>
      <c r="N18" s="45"/>
      <c r="O18" s="12"/>
      <c r="P18" s="12" t="s">
        <v>3169</v>
      </c>
      <c r="Q18" s="12" t="s">
        <v>60</v>
      </c>
      <c r="R18" s="12"/>
      <c r="S18" s="12"/>
      <c r="T18" s="1"/>
      <c r="U18" s="17"/>
      <c r="V18" s="12"/>
    </row>
    <row r="19" spans="1:22" ht="65.099999999999994" customHeight="1" x14ac:dyDescent="0.25">
      <c r="A19" s="12" t="s">
        <v>3170</v>
      </c>
      <c r="B19" s="12" t="s">
        <v>71</v>
      </c>
      <c r="C19" s="12" t="s">
        <v>72</v>
      </c>
      <c r="D19" s="12" t="s">
        <v>88</v>
      </c>
      <c r="E19" s="12" t="s">
        <v>3164</v>
      </c>
      <c r="F19" s="12" t="s">
        <v>56</v>
      </c>
      <c r="G19" s="12" t="s">
        <v>3171</v>
      </c>
      <c r="H19" s="12" t="s">
        <v>3161</v>
      </c>
      <c r="I19" s="45">
        <v>41640</v>
      </c>
      <c r="J19" s="45">
        <v>41632</v>
      </c>
      <c r="K19" s="12" t="s">
        <v>59</v>
      </c>
      <c r="L19" s="12"/>
      <c r="M19" s="12" t="s">
        <v>60</v>
      </c>
      <c r="N19" s="45"/>
      <c r="O19" s="12"/>
      <c r="P19" s="12" t="s">
        <v>3162</v>
      </c>
      <c r="Q19" s="12" t="s">
        <v>60</v>
      </c>
      <c r="R19" s="12"/>
      <c r="S19" s="12"/>
      <c r="T19" s="1"/>
      <c r="U19" s="17"/>
      <c r="V19" s="12"/>
    </row>
    <row r="20" spans="1:22" ht="39" customHeight="1" x14ac:dyDescent="0.25">
      <c r="A20" s="12" t="s">
        <v>3172</v>
      </c>
      <c r="B20" s="12" t="s">
        <v>71</v>
      </c>
      <c r="C20" s="12" t="s">
        <v>72</v>
      </c>
      <c r="D20" s="12" t="s">
        <v>236</v>
      </c>
      <c r="E20" s="12" t="s">
        <v>3132</v>
      </c>
      <c r="F20" s="12" t="s">
        <v>56</v>
      </c>
      <c r="G20" s="12" t="s">
        <v>3173</v>
      </c>
      <c r="H20" s="12" t="s">
        <v>1381</v>
      </c>
      <c r="I20" s="45">
        <v>43524</v>
      </c>
      <c r="J20" s="45">
        <v>43524</v>
      </c>
      <c r="K20" s="12" t="s">
        <v>59</v>
      </c>
      <c r="L20" s="12"/>
      <c r="M20" s="12" t="s">
        <v>60</v>
      </c>
      <c r="N20" s="45"/>
      <c r="O20" s="12"/>
      <c r="P20" s="12" t="s">
        <v>3174</v>
      </c>
      <c r="Q20" s="12" t="s">
        <v>60</v>
      </c>
      <c r="R20" s="12"/>
      <c r="S20" s="12"/>
      <c r="T20" s="1"/>
      <c r="U20" s="17"/>
      <c r="V20" s="12"/>
    </row>
    <row r="21" spans="1:22" ht="26.1" customHeight="1" x14ac:dyDescent="0.25">
      <c r="A21" s="12" t="s">
        <v>3175</v>
      </c>
      <c r="B21" s="12" t="s">
        <v>81</v>
      </c>
      <c r="C21" s="12" t="s">
        <v>82</v>
      </c>
      <c r="D21" s="12" t="s">
        <v>83</v>
      </c>
      <c r="E21" s="12" t="s">
        <v>3176</v>
      </c>
      <c r="F21" s="12" t="s">
        <v>1770</v>
      </c>
      <c r="G21" s="12" t="s">
        <v>3177</v>
      </c>
      <c r="H21" s="12" t="s">
        <v>1867</v>
      </c>
      <c r="I21" s="45">
        <v>43101</v>
      </c>
      <c r="J21" s="45">
        <v>43066</v>
      </c>
      <c r="K21" s="12" t="s">
        <v>91</v>
      </c>
      <c r="L21" s="12"/>
      <c r="M21" s="12" t="s">
        <v>60</v>
      </c>
      <c r="N21" s="45"/>
      <c r="O21" s="12"/>
      <c r="P21" s="12" t="s">
        <v>3178</v>
      </c>
      <c r="Q21" s="12" t="s">
        <v>60</v>
      </c>
      <c r="R21" s="12"/>
      <c r="S21" s="12"/>
      <c r="T21" s="1"/>
      <c r="U21" s="17"/>
      <c r="V21" s="12"/>
    </row>
    <row r="22" spans="1:22" ht="51.95" customHeight="1" x14ac:dyDescent="0.25">
      <c r="A22" s="12" t="s">
        <v>3179</v>
      </c>
      <c r="B22" s="12" t="s">
        <v>81</v>
      </c>
      <c r="C22" s="12" t="s">
        <v>82</v>
      </c>
      <c r="D22" s="12" t="s">
        <v>88</v>
      </c>
      <c r="E22" s="12" t="s">
        <v>28</v>
      </c>
      <c r="F22" s="12" t="s">
        <v>1770</v>
      </c>
      <c r="G22" s="12" t="s">
        <v>3180</v>
      </c>
      <c r="H22" s="12" t="s">
        <v>90</v>
      </c>
      <c r="I22" s="45">
        <v>41388</v>
      </c>
      <c r="J22" s="45"/>
      <c r="K22" s="12" t="s">
        <v>91</v>
      </c>
      <c r="L22" s="12"/>
      <c r="M22" s="12" t="s">
        <v>60</v>
      </c>
      <c r="N22" s="45"/>
      <c r="O22" s="12"/>
      <c r="P22" s="12"/>
      <c r="Q22" s="12" t="s">
        <v>60</v>
      </c>
      <c r="R22" s="12"/>
      <c r="S22" s="12"/>
      <c r="T22" s="1"/>
      <c r="U22" s="17"/>
      <c r="V22" s="12"/>
    </row>
    <row r="23" spans="1:22" ht="51.95" customHeight="1" x14ac:dyDescent="0.25">
      <c r="A23" s="12" t="s">
        <v>3181</v>
      </c>
      <c r="B23" s="12" t="s">
        <v>97</v>
      </c>
      <c r="C23" s="12" t="s">
        <v>523</v>
      </c>
      <c r="D23" s="12" t="s">
        <v>1490</v>
      </c>
      <c r="E23" s="12" t="s">
        <v>3132</v>
      </c>
      <c r="F23" s="12" t="s">
        <v>56</v>
      </c>
      <c r="G23" s="12" t="s">
        <v>3182</v>
      </c>
      <c r="H23" s="12" t="s">
        <v>90</v>
      </c>
      <c r="I23" s="45">
        <v>40330</v>
      </c>
      <c r="J23" s="45"/>
      <c r="K23" s="12" t="s">
        <v>59</v>
      </c>
      <c r="L23" s="12"/>
      <c r="M23" s="12" t="s">
        <v>60</v>
      </c>
      <c r="N23" s="45"/>
      <c r="O23" s="12"/>
      <c r="P23" s="12" t="s">
        <v>3183</v>
      </c>
      <c r="Q23" s="12" t="s">
        <v>60</v>
      </c>
      <c r="R23" s="12"/>
      <c r="S23" s="12"/>
      <c r="T23" s="1"/>
      <c r="U23" s="17"/>
      <c r="V23" s="12"/>
    </row>
    <row r="24" spans="1:22" ht="51.95" customHeight="1" x14ac:dyDescent="0.25">
      <c r="A24" s="12" t="s">
        <v>3184</v>
      </c>
      <c r="B24" s="12" t="s">
        <v>97</v>
      </c>
      <c r="C24" s="12" t="s">
        <v>523</v>
      </c>
      <c r="D24" s="12" t="s">
        <v>83</v>
      </c>
      <c r="E24" s="12" t="s">
        <v>3132</v>
      </c>
      <c r="F24" s="12" t="s">
        <v>56</v>
      </c>
      <c r="G24" s="12" t="s">
        <v>3185</v>
      </c>
      <c r="H24" s="12" t="s">
        <v>90</v>
      </c>
      <c r="I24" s="45">
        <v>43101</v>
      </c>
      <c r="J24" s="45"/>
      <c r="K24" s="12" t="s">
        <v>59</v>
      </c>
      <c r="L24" s="12"/>
      <c r="M24" s="12" t="s">
        <v>60</v>
      </c>
      <c r="N24" s="45"/>
      <c r="O24" s="12"/>
      <c r="P24" s="12" t="s">
        <v>3186</v>
      </c>
      <c r="Q24" s="12" t="s">
        <v>60</v>
      </c>
      <c r="R24" s="12"/>
      <c r="S24" s="12"/>
      <c r="T24" s="1"/>
      <c r="U24" s="17"/>
      <c r="V24" s="12"/>
    </row>
    <row r="25" spans="1:22" ht="90.95" customHeight="1" x14ac:dyDescent="0.25">
      <c r="A25" s="12" t="s">
        <v>3187</v>
      </c>
      <c r="B25" s="12" t="s">
        <v>97</v>
      </c>
      <c r="C25" s="12" t="s">
        <v>523</v>
      </c>
      <c r="D25" s="12" t="s">
        <v>67</v>
      </c>
      <c r="E25" s="12" t="s">
        <v>3132</v>
      </c>
      <c r="F25" s="12" t="s">
        <v>56</v>
      </c>
      <c r="G25" s="12" t="s">
        <v>3188</v>
      </c>
      <c r="H25" s="12" t="s">
        <v>90</v>
      </c>
      <c r="I25" s="45">
        <v>43101</v>
      </c>
      <c r="J25" s="45"/>
      <c r="K25" s="12" t="s">
        <v>59</v>
      </c>
      <c r="L25" s="12"/>
      <c r="M25" s="12" t="s">
        <v>60</v>
      </c>
      <c r="N25" s="45"/>
      <c r="O25" s="12"/>
      <c r="P25" s="12" t="s">
        <v>1458</v>
      </c>
      <c r="Q25" s="12" t="s">
        <v>60</v>
      </c>
      <c r="R25" s="12"/>
      <c r="S25" s="12"/>
      <c r="T25" s="1"/>
      <c r="U25" s="17"/>
      <c r="V25" s="12"/>
    </row>
    <row r="26" spans="1:22" ht="78" customHeight="1" x14ac:dyDescent="0.25">
      <c r="A26" s="12" t="s">
        <v>3189</v>
      </c>
      <c r="B26" s="12" t="s">
        <v>103</v>
      </c>
      <c r="C26" s="12" t="s">
        <v>104</v>
      </c>
      <c r="D26" s="12" t="s">
        <v>236</v>
      </c>
      <c r="E26" s="12" t="s">
        <v>3098</v>
      </c>
      <c r="F26" s="12" t="s">
        <v>56</v>
      </c>
      <c r="G26" s="12" t="s">
        <v>3190</v>
      </c>
      <c r="H26" s="12" t="s">
        <v>1867</v>
      </c>
      <c r="I26" s="45">
        <v>43738</v>
      </c>
      <c r="J26" s="45">
        <v>43570</v>
      </c>
      <c r="K26" s="12" t="s">
        <v>91</v>
      </c>
      <c r="L26" s="12"/>
      <c r="M26" s="12" t="s">
        <v>60</v>
      </c>
      <c r="N26" s="45"/>
      <c r="O26" s="12"/>
      <c r="P26" s="12" t="s">
        <v>3191</v>
      </c>
      <c r="Q26" s="12" t="s">
        <v>60</v>
      </c>
      <c r="R26" s="12"/>
      <c r="S26" s="12"/>
      <c r="T26" s="1"/>
      <c r="U26" s="17"/>
      <c r="V26" s="12"/>
    </row>
    <row r="27" spans="1:22" ht="65.099999999999994" customHeight="1" x14ac:dyDescent="0.25">
      <c r="A27" s="12" t="s">
        <v>3192</v>
      </c>
      <c r="B27" s="12" t="s">
        <v>103</v>
      </c>
      <c r="C27" s="12" t="s">
        <v>104</v>
      </c>
      <c r="D27" s="12" t="s">
        <v>220</v>
      </c>
      <c r="E27" s="12" t="s">
        <v>3098</v>
      </c>
      <c r="F27" s="12" t="s">
        <v>56</v>
      </c>
      <c r="G27" s="12" t="s">
        <v>3193</v>
      </c>
      <c r="H27" s="12" t="s">
        <v>1867</v>
      </c>
      <c r="I27" s="45">
        <v>45199</v>
      </c>
      <c r="J27" s="45">
        <v>45048</v>
      </c>
      <c r="K27" s="12" t="s">
        <v>59</v>
      </c>
      <c r="L27" s="12" t="s">
        <v>3189</v>
      </c>
      <c r="M27" s="12" t="s">
        <v>60</v>
      </c>
      <c r="N27" s="45"/>
      <c r="O27" s="12"/>
      <c r="P27" s="12"/>
      <c r="Q27" s="12" t="s">
        <v>60</v>
      </c>
      <c r="R27" s="12"/>
      <c r="S27" s="12"/>
      <c r="T27" s="1"/>
      <c r="U27" s="17"/>
      <c r="V27" s="12"/>
    </row>
    <row r="28" spans="1:22" ht="39" customHeight="1" x14ac:dyDescent="0.25">
      <c r="A28" s="12" t="s">
        <v>3106</v>
      </c>
      <c r="B28" s="12" t="s">
        <v>106</v>
      </c>
      <c r="C28" s="12" t="s">
        <v>107</v>
      </c>
      <c r="D28" s="12" t="s">
        <v>83</v>
      </c>
      <c r="E28" s="12" t="s">
        <v>3098</v>
      </c>
      <c r="F28" s="12" t="s">
        <v>56</v>
      </c>
      <c r="G28" s="12" t="s">
        <v>3194</v>
      </c>
      <c r="H28" s="12" t="s">
        <v>1867</v>
      </c>
      <c r="I28" s="45">
        <v>43101</v>
      </c>
      <c r="J28" s="45">
        <v>42912</v>
      </c>
      <c r="K28" s="12" t="s">
        <v>91</v>
      </c>
      <c r="L28" s="12"/>
      <c r="M28" s="12" t="s">
        <v>60</v>
      </c>
      <c r="N28" s="45"/>
      <c r="O28" s="12"/>
      <c r="P28" s="12" t="s">
        <v>3195</v>
      </c>
      <c r="Q28" s="12" t="s">
        <v>215</v>
      </c>
      <c r="R28" s="12" t="s">
        <v>3107</v>
      </c>
      <c r="S28" s="12">
        <v>28</v>
      </c>
      <c r="T28" s="1"/>
      <c r="U28" s="17"/>
      <c r="V28" s="12"/>
    </row>
    <row r="29" spans="1:22" ht="51.95" customHeight="1" x14ac:dyDescent="0.25">
      <c r="A29" s="12" t="s">
        <v>3108</v>
      </c>
      <c r="B29" s="12" t="s">
        <v>109</v>
      </c>
      <c r="C29" s="12" t="s">
        <v>110</v>
      </c>
      <c r="D29" s="12" t="s">
        <v>55</v>
      </c>
      <c r="E29" s="12" t="s">
        <v>3109</v>
      </c>
      <c r="F29" s="12" t="s">
        <v>1167</v>
      </c>
      <c r="G29" s="12" t="s">
        <v>3196</v>
      </c>
      <c r="H29" s="12" t="s">
        <v>1867</v>
      </c>
      <c r="I29" s="45">
        <v>43282</v>
      </c>
      <c r="J29" s="45">
        <v>43231</v>
      </c>
      <c r="K29" s="12" t="s">
        <v>91</v>
      </c>
      <c r="L29" s="12"/>
      <c r="M29" s="12" t="s">
        <v>60</v>
      </c>
      <c r="N29" s="45"/>
      <c r="O29" s="12"/>
      <c r="P29" s="12"/>
      <c r="Q29" s="12" t="s">
        <v>215</v>
      </c>
      <c r="R29" s="12" t="s">
        <v>3110</v>
      </c>
      <c r="S29" s="12">
        <v>42</v>
      </c>
      <c r="T29" s="1"/>
      <c r="U29" s="17"/>
      <c r="V29" s="12"/>
    </row>
    <row r="30" spans="1:22" ht="51.95" customHeight="1" x14ac:dyDescent="0.25">
      <c r="A30" s="12" t="s">
        <v>3197</v>
      </c>
      <c r="B30" s="12" t="s">
        <v>121</v>
      </c>
      <c r="C30" s="12" t="s">
        <v>122</v>
      </c>
      <c r="D30" s="12" t="s">
        <v>55</v>
      </c>
      <c r="E30" s="12" t="s">
        <v>24</v>
      </c>
      <c r="F30" s="12" t="s">
        <v>1770</v>
      </c>
      <c r="G30" s="12" t="s">
        <v>3198</v>
      </c>
      <c r="H30" s="12" t="s">
        <v>1381</v>
      </c>
      <c r="I30" s="45">
        <v>43282</v>
      </c>
      <c r="J30" s="45">
        <v>43084</v>
      </c>
      <c r="K30" s="12" t="s">
        <v>59</v>
      </c>
      <c r="L30" s="12"/>
      <c r="M30" s="12" t="s">
        <v>60</v>
      </c>
      <c r="N30" s="45"/>
      <c r="O30" s="12"/>
      <c r="P30" s="12" t="s">
        <v>3199</v>
      </c>
      <c r="Q30" s="12" t="s">
        <v>60</v>
      </c>
      <c r="R30" s="12"/>
      <c r="S30" s="12"/>
      <c r="T30" s="1"/>
      <c r="U30" s="17"/>
      <c r="V30" s="12"/>
    </row>
    <row r="31" spans="1:22" ht="65.099999999999994" customHeight="1" x14ac:dyDescent="0.25">
      <c r="A31" s="12" t="s">
        <v>3200</v>
      </c>
      <c r="B31" s="12" t="s">
        <v>121</v>
      </c>
      <c r="C31" s="12" t="s">
        <v>122</v>
      </c>
      <c r="D31" s="12" t="s">
        <v>55</v>
      </c>
      <c r="E31" s="12" t="s">
        <v>24</v>
      </c>
      <c r="F31" s="12" t="s">
        <v>1770</v>
      </c>
      <c r="G31" s="12" t="s">
        <v>3201</v>
      </c>
      <c r="H31" s="12" t="s">
        <v>1381</v>
      </c>
      <c r="I31" s="45">
        <v>43282</v>
      </c>
      <c r="J31" s="45"/>
      <c r="K31" s="12" t="s">
        <v>59</v>
      </c>
      <c r="L31" s="12" t="s">
        <v>3202</v>
      </c>
      <c r="M31" s="12" t="s">
        <v>60</v>
      </c>
      <c r="N31" s="45"/>
      <c r="O31" s="12"/>
      <c r="P31" s="12" t="s">
        <v>3203</v>
      </c>
      <c r="Q31" s="12" t="s">
        <v>60</v>
      </c>
      <c r="R31" s="12"/>
      <c r="S31" s="12"/>
      <c r="T31" s="1"/>
      <c r="U31" s="17"/>
      <c r="V31" s="12"/>
    </row>
    <row r="32" spans="1:22" ht="51.95" customHeight="1" x14ac:dyDescent="0.25">
      <c r="A32" s="12" t="s">
        <v>3204</v>
      </c>
      <c r="B32" s="12" t="s">
        <v>121</v>
      </c>
      <c r="C32" s="12" t="s">
        <v>122</v>
      </c>
      <c r="D32" s="12" t="s">
        <v>232</v>
      </c>
      <c r="E32" s="12" t="s">
        <v>24</v>
      </c>
      <c r="F32" s="12" t="s">
        <v>1770</v>
      </c>
      <c r="G32" s="12" t="s">
        <v>3205</v>
      </c>
      <c r="H32" s="12" t="s">
        <v>1381</v>
      </c>
      <c r="I32" s="45">
        <v>44091</v>
      </c>
      <c r="J32" s="45">
        <v>44081</v>
      </c>
      <c r="K32" s="12" t="s">
        <v>59</v>
      </c>
      <c r="L32" s="12" t="s">
        <v>3197</v>
      </c>
      <c r="M32" s="12" t="s">
        <v>60</v>
      </c>
      <c r="N32" s="45"/>
      <c r="O32" s="12"/>
      <c r="P32" s="12" t="s">
        <v>3206</v>
      </c>
      <c r="Q32" s="12" t="s">
        <v>60</v>
      </c>
      <c r="R32" s="12"/>
      <c r="S32" s="12"/>
      <c r="T32" s="1"/>
      <c r="U32" s="17"/>
      <c r="V32" s="12"/>
    </row>
    <row r="33" spans="1:22" ht="39" customHeight="1" x14ac:dyDescent="0.25">
      <c r="A33" s="12" t="s">
        <v>3207</v>
      </c>
      <c r="B33" s="12" t="s">
        <v>121</v>
      </c>
      <c r="C33" s="12" t="s">
        <v>122</v>
      </c>
      <c r="D33" s="12" t="s">
        <v>126</v>
      </c>
      <c r="E33" s="12" t="s">
        <v>24</v>
      </c>
      <c r="F33" s="12" t="s">
        <v>1770</v>
      </c>
      <c r="G33" s="12" t="s">
        <v>3208</v>
      </c>
      <c r="H33" s="12" t="s">
        <v>90</v>
      </c>
      <c r="I33" s="45">
        <v>42826</v>
      </c>
      <c r="J33" s="45"/>
      <c r="K33" s="12" t="s">
        <v>59</v>
      </c>
      <c r="L33" s="12" t="s">
        <v>3209</v>
      </c>
      <c r="M33" s="12" t="s">
        <v>60</v>
      </c>
      <c r="N33" s="45"/>
      <c r="O33" s="12"/>
      <c r="P33" s="12" t="s">
        <v>3210</v>
      </c>
      <c r="Q33" s="12" t="s">
        <v>60</v>
      </c>
      <c r="R33" s="12"/>
      <c r="S33" s="12"/>
      <c r="T33" s="1"/>
      <c r="U33" s="17"/>
      <c r="V33" s="12"/>
    </row>
    <row r="34" spans="1:22" ht="26.1" customHeight="1" x14ac:dyDescent="0.25">
      <c r="A34" s="12" t="s">
        <v>3211</v>
      </c>
      <c r="B34" s="12" t="s">
        <v>121</v>
      </c>
      <c r="C34" s="12" t="s">
        <v>122</v>
      </c>
      <c r="D34" s="12" t="s">
        <v>232</v>
      </c>
      <c r="E34" s="12" t="s">
        <v>24</v>
      </c>
      <c r="F34" s="12" t="s">
        <v>1770</v>
      </c>
      <c r="G34" s="12" t="s">
        <v>3212</v>
      </c>
      <c r="H34" s="12" t="s">
        <v>90</v>
      </c>
      <c r="I34" s="45">
        <v>43914</v>
      </c>
      <c r="J34" s="45">
        <v>43908</v>
      </c>
      <c r="K34" s="12" t="s">
        <v>91</v>
      </c>
      <c r="L34" s="12" t="s">
        <v>3202</v>
      </c>
      <c r="M34" s="12" t="s">
        <v>60</v>
      </c>
      <c r="N34" s="45"/>
      <c r="O34" s="12"/>
      <c r="P34" s="12" t="s">
        <v>3213</v>
      </c>
      <c r="Q34" s="12" t="s">
        <v>60</v>
      </c>
      <c r="R34" s="12"/>
      <c r="S34" s="12"/>
      <c r="T34" s="1"/>
      <c r="U34" s="17"/>
      <c r="V34" s="12"/>
    </row>
    <row r="35" spans="1:22" ht="26.1" customHeight="1" x14ac:dyDescent="0.25">
      <c r="A35" s="12" t="s">
        <v>3214</v>
      </c>
      <c r="B35" s="12" t="s">
        <v>121</v>
      </c>
      <c r="C35" s="12" t="s">
        <v>122</v>
      </c>
      <c r="D35" s="12" t="s">
        <v>232</v>
      </c>
      <c r="E35" s="12" t="s">
        <v>24</v>
      </c>
      <c r="F35" s="12" t="s">
        <v>1770</v>
      </c>
      <c r="G35" s="12" t="s">
        <v>3215</v>
      </c>
      <c r="H35" s="12" t="s">
        <v>1381</v>
      </c>
      <c r="I35" s="45">
        <v>43914</v>
      </c>
      <c r="J35" s="45">
        <v>43908</v>
      </c>
      <c r="K35" s="12" t="s">
        <v>91</v>
      </c>
      <c r="L35" s="12" t="s">
        <v>3216</v>
      </c>
      <c r="M35" s="12" t="s">
        <v>60</v>
      </c>
      <c r="N35" s="45"/>
      <c r="O35" s="12"/>
      <c r="P35" s="12"/>
      <c r="Q35" s="12" t="s">
        <v>60</v>
      </c>
      <c r="R35" s="12"/>
      <c r="S35" s="12"/>
      <c r="T35" s="1"/>
      <c r="U35" s="17"/>
      <c r="V35" s="12"/>
    </row>
    <row r="36" spans="1:22" ht="104.1" customHeight="1" x14ac:dyDescent="0.25">
      <c r="A36" s="12" t="s">
        <v>3217</v>
      </c>
      <c r="B36" s="12" t="s">
        <v>121</v>
      </c>
      <c r="C36" s="12" t="s">
        <v>122</v>
      </c>
      <c r="D36" s="12" t="s">
        <v>232</v>
      </c>
      <c r="E36" s="12" t="s">
        <v>24</v>
      </c>
      <c r="F36" s="12" t="s">
        <v>1770</v>
      </c>
      <c r="G36" s="12" t="s">
        <v>3218</v>
      </c>
      <c r="H36" s="12" t="s">
        <v>1381</v>
      </c>
      <c r="I36" s="45">
        <v>43914</v>
      </c>
      <c r="J36" s="45">
        <v>43908</v>
      </c>
      <c r="K36" s="12" t="s">
        <v>59</v>
      </c>
      <c r="L36" s="12" t="s">
        <v>3209</v>
      </c>
      <c r="M36" s="12" t="s">
        <v>60</v>
      </c>
      <c r="N36" s="45"/>
      <c r="O36" s="12"/>
      <c r="P36" s="12" t="s">
        <v>3219</v>
      </c>
      <c r="Q36" s="12" t="s">
        <v>60</v>
      </c>
      <c r="R36" s="12"/>
      <c r="S36" s="12"/>
      <c r="T36" s="1"/>
      <c r="U36" s="17"/>
      <c r="V36" s="12"/>
    </row>
    <row r="37" spans="1:22" ht="65.099999999999994" customHeight="1" x14ac:dyDescent="0.25">
      <c r="A37" s="12" t="s">
        <v>3220</v>
      </c>
      <c r="B37" s="12" t="s">
        <v>121</v>
      </c>
      <c r="C37" s="12" t="s">
        <v>122</v>
      </c>
      <c r="D37" s="12" t="s">
        <v>55</v>
      </c>
      <c r="E37" s="12" t="s">
        <v>24</v>
      </c>
      <c r="F37" s="12" t="s">
        <v>1770</v>
      </c>
      <c r="G37" s="12" t="s">
        <v>3221</v>
      </c>
      <c r="H37" s="12" t="s">
        <v>1381</v>
      </c>
      <c r="I37" s="45">
        <v>43497</v>
      </c>
      <c r="J37" s="45">
        <v>43454</v>
      </c>
      <c r="K37" s="12" t="s">
        <v>59</v>
      </c>
      <c r="L37" s="12" t="s">
        <v>3209</v>
      </c>
      <c r="M37" s="12" t="s">
        <v>60</v>
      </c>
      <c r="N37" s="45"/>
      <c r="O37" s="12"/>
      <c r="P37" s="12" t="s">
        <v>3222</v>
      </c>
      <c r="Q37" s="12" t="s">
        <v>60</v>
      </c>
      <c r="R37" s="12"/>
      <c r="S37" s="12"/>
      <c r="T37" s="1"/>
      <c r="U37" s="17"/>
      <c r="V37" s="12"/>
    </row>
    <row r="38" spans="1:22" ht="51.95" customHeight="1" x14ac:dyDescent="0.25">
      <c r="A38" s="12" t="s">
        <v>3223</v>
      </c>
      <c r="B38" s="12" t="s">
        <v>121</v>
      </c>
      <c r="C38" s="12" t="s">
        <v>122</v>
      </c>
      <c r="D38" s="12" t="s">
        <v>228</v>
      </c>
      <c r="E38" s="12" t="s">
        <v>24</v>
      </c>
      <c r="F38" s="12" t="s">
        <v>1770</v>
      </c>
      <c r="G38" s="12" t="s">
        <v>3224</v>
      </c>
      <c r="H38" s="12" t="s">
        <v>90</v>
      </c>
      <c r="I38" s="45">
        <v>44378</v>
      </c>
      <c r="J38" s="45">
        <v>44364</v>
      </c>
      <c r="K38" s="12" t="s">
        <v>91</v>
      </c>
      <c r="L38" s="12" t="s">
        <v>3209</v>
      </c>
      <c r="M38" s="12" t="s">
        <v>60</v>
      </c>
      <c r="N38" s="45"/>
      <c r="O38" s="12"/>
      <c r="P38" s="12"/>
      <c r="Q38" s="12" t="s">
        <v>60</v>
      </c>
      <c r="R38" s="12"/>
      <c r="S38" s="12"/>
      <c r="T38" s="1"/>
      <c r="U38" s="17"/>
      <c r="V38" s="12"/>
    </row>
    <row r="39" spans="1:22" ht="26.1" customHeight="1" x14ac:dyDescent="0.25">
      <c r="A39" s="12" t="s">
        <v>3225</v>
      </c>
      <c r="B39" s="12" t="s">
        <v>121</v>
      </c>
      <c r="C39" s="12" t="s">
        <v>122</v>
      </c>
      <c r="D39" s="12" t="s">
        <v>224</v>
      </c>
      <c r="E39" s="12" t="s">
        <v>24</v>
      </c>
      <c r="F39" s="12" t="s">
        <v>1770</v>
      </c>
      <c r="G39" s="12" t="s">
        <v>3226</v>
      </c>
      <c r="H39" s="12" t="s">
        <v>90</v>
      </c>
      <c r="I39" s="45">
        <v>44540</v>
      </c>
      <c r="J39" s="45">
        <v>44505</v>
      </c>
      <c r="K39" s="12" t="s">
        <v>59</v>
      </c>
      <c r="L39" s="12" t="s">
        <v>3216</v>
      </c>
      <c r="M39" s="12" t="s">
        <v>60</v>
      </c>
      <c r="N39" s="45"/>
      <c r="O39" s="12"/>
      <c r="P39" s="12" t="s">
        <v>3227</v>
      </c>
      <c r="Q39" s="12" t="s">
        <v>60</v>
      </c>
      <c r="R39" s="12"/>
      <c r="S39" s="12"/>
      <c r="T39" s="1"/>
      <c r="U39" s="17"/>
      <c r="V39" s="12"/>
    </row>
    <row r="40" spans="1:22" ht="65.099999999999994" customHeight="1" x14ac:dyDescent="0.25">
      <c r="A40" s="12" t="s">
        <v>3202</v>
      </c>
      <c r="B40" s="12" t="s">
        <v>121</v>
      </c>
      <c r="C40" s="12" t="s">
        <v>122</v>
      </c>
      <c r="D40" s="12" t="s">
        <v>77</v>
      </c>
      <c r="E40" s="12" t="s">
        <v>24</v>
      </c>
      <c r="F40" s="12" t="s">
        <v>1770</v>
      </c>
      <c r="G40" s="12" t="s">
        <v>3228</v>
      </c>
      <c r="H40" s="12" t="s">
        <v>90</v>
      </c>
      <c r="I40" s="45">
        <v>42370</v>
      </c>
      <c r="J40" s="45"/>
      <c r="K40" s="12" t="s">
        <v>59</v>
      </c>
      <c r="L40" s="12"/>
      <c r="M40" s="12" t="s">
        <v>60</v>
      </c>
      <c r="N40" s="45"/>
      <c r="O40" s="12"/>
      <c r="P40" s="12" t="s">
        <v>3229</v>
      </c>
      <c r="Q40" s="12" t="s">
        <v>60</v>
      </c>
      <c r="R40" s="12"/>
      <c r="S40" s="12"/>
      <c r="T40" s="1"/>
      <c r="U40" s="17"/>
      <c r="V40" s="12"/>
    </row>
    <row r="41" spans="1:22" ht="168.95" customHeight="1" x14ac:dyDescent="0.25">
      <c r="A41" s="12" t="s">
        <v>3230</v>
      </c>
      <c r="B41" s="12" t="s">
        <v>121</v>
      </c>
      <c r="C41" s="12" t="s">
        <v>122</v>
      </c>
      <c r="D41" s="12" t="s">
        <v>224</v>
      </c>
      <c r="E41" s="12" t="s">
        <v>24</v>
      </c>
      <c r="F41" s="12" t="s">
        <v>1770</v>
      </c>
      <c r="G41" s="12" t="s">
        <v>3231</v>
      </c>
      <c r="H41" s="12" t="s">
        <v>90</v>
      </c>
      <c r="I41" s="45">
        <v>44743</v>
      </c>
      <c r="J41" s="45">
        <v>44670</v>
      </c>
      <c r="K41" s="12" t="s">
        <v>59</v>
      </c>
      <c r="L41" s="12" t="s">
        <v>3209</v>
      </c>
      <c r="M41" s="12" t="s">
        <v>60</v>
      </c>
      <c r="N41" s="45"/>
      <c r="O41" s="12"/>
      <c r="P41" s="12" t="s">
        <v>3232</v>
      </c>
      <c r="Q41" s="12" t="s">
        <v>60</v>
      </c>
      <c r="R41" s="12"/>
      <c r="S41" s="12"/>
      <c r="T41" s="1"/>
      <c r="U41" s="17"/>
      <c r="V41" s="12"/>
    </row>
    <row r="42" spans="1:22" ht="26.1" customHeight="1" x14ac:dyDescent="0.25">
      <c r="A42" s="12" t="s">
        <v>3233</v>
      </c>
      <c r="B42" s="12" t="s">
        <v>121</v>
      </c>
      <c r="C42" s="12" t="s">
        <v>122</v>
      </c>
      <c r="D42" s="12" t="s">
        <v>220</v>
      </c>
      <c r="E42" s="12" t="s">
        <v>24</v>
      </c>
      <c r="F42" s="12" t="s">
        <v>1770</v>
      </c>
      <c r="G42" s="12" t="s">
        <v>3234</v>
      </c>
      <c r="H42" s="12" t="s">
        <v>1381</v>
      </c>
      <c r="I42" s="45">
        <v>44927</v>
      </c>
      <c r="J42" s="45">
        <v>44910</v>
      </c>
      <c r="K42" s="12" t="s">
        <v>59</v>
      </c>
      <c r="L42" s="12" t="s">
        <v>3209</v>
      </c>
      <c r="M42" s="12" t="s">
        <v>60</v>
      </c>
      <c r="N42" s="45"/>
      <c r="O42" s="12"/>
      <c r="P42" s="12"/>
      <c r="Q42" s="12" t="s">
        <v>60</v>
      </c>
      <c r="R42" s="12"/>
      <c r="S42" s="12"/>
      <c r="T42" s="1"/>
      <c r="U42" s="17"/>
      <c r="V42" s="12"/>
    </row>
    <row r="43" spans="1:22" ht="51.95" customHeight="1" x14ac:dyDescent="0.25">
      <c r="A43" s="12" t="s">
        <v>3209</v>
      </c>
      <c r="B43" s="12" t="s">
        <v>121</v>
      </c>
      <c r="C43" s="12" t="s">
        <v>122</v>
      </c>
      <c r="D43" s="12" t="s">
        <v>77</v>
      </c>
      <c r="E43" s="12" t="s">
        <v>24</v>
      </c>
      <c r="F43" s="12" t="s">
        <v>1770</v>
      </c>
      <c r="G43" s="12" t="s">
        <v>3235</v>
      </c>
      <c r="H43" s="12" t="s">
        <v>90</v>
      </c>
      <c r="I43" s="45">
        <v>42826</v>
      </c>
      <c r="J43" s="45"/>
      <c r="K43" s="12" t="s">
        <v>59</v>
      </c>
      <c r="L43" s="12"/>
      <c r="M43" s="12" t="s">
        <v>60</v>
      </c>
      <c r="N43" s="45"/>
      <c r="O43" s="12"/>
      <c r="P43" s="12" t="s">
        <v>3229</v>
      </c>
      <c r="Q43" s="12" t="s">
        <v>60</v>
      </c>
      <c r="R43" s="12"/>
      <c r="S43" s="12"/>
      <c r="T43" s="1"/>
      <c r="U43" s="17"/>
      <c r="V43" s="12"/>
    </row>
    <row r="44" spans="1:22" ht="143.1" customHeight="1" x14ac:dyDescent="0.25">
      <c r="A44" s="12" t="s">
        <v>3216</v>
      </c>
      <c r="B44" s="12" t="s">
        <v>121</v>
      </c>
      <c r="C44" s="12" t="s">
        <v>122</v>
      </c>
      <c r="D44" s="12" t="s">
        <v>77</v>
      </c>
      <c r="E44" s="12" t="s">
        <v>24</v>
      </c>
      <c r="F44" s="12" t="s">
        <v>1770</v>
      </c>
      <c r="G44" s="12" t="s">
        <v>3236</v>
      </c>
      <c r="H44" s="12" t="s">
        <v>90</v>
      </c>
      <c r="I44" s="45">
        <v>42370</v>
      </c>
      <c r="J44" s="45"/>
      <c r="K44" s="12" t="s">
        <v>91</v>
      </c>
      <c r="L44" s="12"/>
      <c r="M44" s="12" t="s">
        <v>60</v>
      </c>
      <c r="N44" s="45"/>
      <c r="O44" s="12"/>
      <c r="P44" s="12" t="s">
        <v>3229</v>
      </c>
      <c r="Q44" s="12" t="s">
        <v>60</v>
      </c>
      <c r="R44" s="12"/>
      <c r="S44" s="12"/>
      <c r="T44" s="1"/>
      <c r="U44" s="17"/>
      <c r="V44" s="12"/>
    </row>
    <row r="45" spans="1:22" ht="156" customHeight="1" x14ac:dyDescent="0.25">
      <c r="A45" s="12" t="s">
        <v>3237</v>
      </c>
      <c r="B45" s="12" t="s">
        <v>121</v>
      </c>
      <c r="C45" s="12" t="s">
        <v>122</v>
      </c>
      <c r="D45" s="12" t="s">
        <v>220</v>
      </c>
      <c r="E45" s="12" t="s">
        <v>24</v>
      </c>
      <c r="F45" s="12" t="s">
        <v>56</v>
      </c>
      <c r="G45" s="12" t="s">
        <v>3238</v>
      </c>
      <c r="H45" s="12"/>
      <c r="I45" s="45">
        <v>45198</v>
      </c>
      <c r="J45" s="45">
        <v>45190</v>
      </c>
      <c r="K45" s="12" t="s">
        <v>59</v>
      </c>
      <c r="L45" s="12" t="s">
        <v>3209</v>
      </c>
      <c r="M45" s="12" t="s">
        <v>60</v>
      </c>
      <c r="N45" s="45"/>
      <c r="O45" s="12"/>
      <c r="P45" s="12" t="s">
        <v>3239</v>
      </c>
      <c r="Q45" s="12" t="s">
        <v>60</v>
      </c>
      <c r="R45" s="12"/>
      <c r="S45" s="12"/>
      <c r="T45" s="1"/>
      <c r="U45" s="17"/>
      <c r="V45" s="12"/>
    </row>
    <row r="46" spans="1:22" ht="129.94999999999999" customHeight="1" x14ac:dyDescent="0.25">
      <c r="A46" s="12" t="s">
        <v>3240</v>
      </c>
      <c r="B46" s="12" t="s">
        <v>121</v>
      </c>
      <c r="C46" s="12" t="s">
        <v>122</v>
      </c>
      <c r="D46" s="12" t="s">
        <v>77</v>
      </c>
      <c r="E46" s="12" t="s">
        <v>24</v>
      </c>
      <c r="F46" s="12" t="s">
        <v>1770</v>
      </c>
      <c r="G46" s="12" t="s">
        <v>3241</v>
      </c>
      <c r="H46" s="12" t="s">
        <v>3242</v>
      </c>
      <c r="I46" s="45">
        <v>42461</v>
      </c>
      <c r="J46" s="45"/>
      <c r="K46" s="12" t="s">
        <v>59</v>
      </c>
      <c r="L46" s="12"/>
      <c r="M46" s="12" t="s">
        <v>60</v>
      </c>
      <c r="N46" s="45"/>
      <c r="O46" s="12"/>
      <c r="P46" s="12" t="s">
        <v>3229</v>
      </c>
      <c r="Q46" s="12" t="s">
        <v>60</v>
      </c>
      <c r="R46" s="12"/>
      <c r="S46" s="12"/>
      <c r="T46" s="1"/>
      <c r="U46" s="17"/>
      <c r="V46" s="12"/>
    </row>
    <row r="47" spans="1:22" ht="104.1" customHeight="1" x14ac:dyDescent="0.25">
      <c r="A47" s="12" t="s">
        <v>3243</v>
      </c>
      <c r="B47" s="12" t="s">
        <v>121</v>
      </c>
      <c r="C47" s="12" t="s">
        <v>122</v>
      </c>
      <c r="D47" s="12" t="s">
        <v>252</v>
      </c>
      <c r="E47" s="12" t="s">
        <v>3132</v>
      </c>
      <c r="F47" s="12" t="s">
        <v>1204</v>
      </c>
      <c r="G47" s="12" t="s">
        <v>3244</v>
      </c>
      <c r="H47" s="12" t="s">
        <v>1381</v>
      </c>
      <c r="I47" s="45">
        <v>45566</v>
      </c>
      <c r="J47" s="45">
        <v>45540</v>
      </c>
      <c r="K47" s="12" t="s">
        <v>59</v>
      </c>
      <c r="L47" s="12"/>
      <c r="M47" s="12" t="s">
        <v>60</v>
      </c>
      <c r="N47" s="45"/>
      <c r="O47" s="12"/>
      <c r="P47" s="12" t="s">
        <v>3245</v>
      </c>
      <c r="Q47" s="12" t="s">
        <v>60</v>
      </c>
      <c r="R47" s="12"/>
      <c r="S47" s="12"/>
      <c r="T47" s="1"/>
      <c r="U47" s="17"/>
      <c r="V47" s="12"/>
    </row>
    <row r="48" spans="1:22" ht="78" customHeight="1" x14ac:dyDescent="0.25">
      <c r="A48" s="12" t="s">
        <v>3246</v>
      </c>
      <c r="B48" s="12" t="s">
        <v>121</v>
      </c>
      <c r="C48" s="12" t="s">
        <v>122</v>
      </c>
      <c r="D48" s="12" t="s">
        <v>252</v>
      </c>
      <c r="E48" s="12" t="s">
        <v>3132</v>
      </c>
      <c r="F48" s="12" t="s">
        <v>1167</v>
      </c>
      <c r="G48" s="12" t="s">
        <v>3247</v>
      </c>
      <c r="H48" s="12" t="s">
        <v>1381</v>
      </c>
      <c r="I48" s="45">
        <v>45566</v>
      </c>
      <c r="J48" s="45">
        <v>45540</v>
      </c>
      <c r="K48" s="12" t="s">
        <v>59</v>
      </c>
      <c r="L48" s="12"/>
      <c r="M48" s="12" t="s">
        <v>60</v>
      </c>
      <c r="N48" s="45"/>
      <c r="O48" s="12"/>
      <c r="P48" s="12"/>
      <c r="Q48" s="12" t="s">
        <v>60</v>
      </c>
      <c r="R48" s="12"/>
      <c r="S48" s="12"/>
      <c r="T48" s="1"/>
      <c r="U48" s="17"/>
      <c r="V48" s="12"/>
    </row>
    <row r="49" spans="1:22" ht="51.95" customHeight="1" x14ac:dyDescent="0.25">
      <c r="A49" s="12" t="s">
        <v>3248</v>
      </c>
      <c r="B49" s="12" t="s">
        <v>121</v>
      </c>
      <c r="C49" s="12" t="s">
        <v>122</v>
      </c>
      <c r="D49" s="12" t="s">
        <v>1561</v>
      </c>
      <c r="E49" s="12" t="s">
        <v>24</v>
      </c>
      <c r="F49" s="12" t="s">
        <v>1770</v>
      </c>
      <c r="G49" s="12" t="s">
        <v>3249</v>
      </c>
      <c r="H49" s="12" t="s">
        <v>90</v>
      </c>
      <c r="I49" s="45">
        <v>41821</v>
      </c>
      <c r="J49" s="45"/>
      <c r="K49" s="12" t="s">
        <v>91</v>
      </c>
      <c r="L49" s="12"/>
      <c r="M49" s="12" t="s">
        <v>60</v>
      </c>
      <c r="N49" s="45"/>
      <c r="O49" s="12"/>
      <c r="P49" s="12" t="s">
        <v>3229</v>
      </c>
      <c r="Q49" s="12" t="s">
        <v>60</v>
      </c>
      <c r="R49" s="12"/>
      <c r="S49" s="12"/>
      <c r="T49" s="1"/>
      <c r="U49" s="17"/>
      <c r="V49" s="12"/>
    </row>
    <row r="50" spans="1:22" ht="78" customHeight="1" x14ac:dyDescent="0.25">
      <c r="A50" s="12" t="s">
        <v>3250</v>
      </c>
      <c r="B50" s="12" t="s">
        <v>121</v>
      </c>
      <c r="C50" s="12" t="s">
        <v>122</v>
      </c>
      <c r="D50" s="12" t="s">
        <v>1621</v>
      </c>
      <c r="E50" s="12" t="s">
        <v>24</v>
      </c>
      <c r="F50" s="12" t="s">
        <v>1770</v>
      </c>
      <c r="G50" s="12" t="s">
        <v>3251</v>
      </c>
      <c r="H50" s="12" t="s">
        <v>90</v>
      </c>
      <c r="I50" s="45">
        <v>41821</v>
      </c>
      <c r="J50" s="45"/>
      <c r="K50" s="12" t="s">
        <v>91</v>
      </c>
      <c r="L50" s="12"/>
      <c r="M50" s="12" t="s">
        <v>215</v>
      </c>
      <c r="N50" s="45">
        <v>42370</v>
      </c>
      <c r="O50" s="12" t="s">
        <v>3252</v>
      </c>
      <c r="P50" s="12"/>
      <c r="Q50" s="12" t="s">
        <v>60</v>
      </c>
      <c r="R50" s="12"/>
      <c r="S50" s="12"/>
      <c r="T50" s="1"/>
      <c r="U50" s="17"/>
      <c r="V50" s="12"/>
    </row>
    <row r="51" spans="1:22" ht="90.95" customHeight="1" x14ac:dyDescent="0.25">
      <c r="A51" s="12" t="s">
        <v>3253</v>
      </c>
      <c r="B51" s="12" t="s">
        <v>121</v>
      </c>
      <c r="C51" s="12" t="s">
        <v>122</v>
      </c>
      <c r="D51" s="12" t="s">
        <v>126</v>
      </c>
      <c r="E51" s="12" t="s">
        <v>3132</v>
      </c>
      <c r="F51" s="12" t="s">
        <v>1167</v>
      </c>
      <c r="G51" s="12" t="s">
        <v>3254</v>
      </c>
      <c r="H51" s="12" t="s">
        <v>90</v>
      </c>
      <c r="I51" s="45">
        <v>42450</v>
      </c>
      <c r="J51" s="45"/>
      <c r="K51" s="12" t="s">
        <v>91</v>
      </c>
      <c r="L51" s="12"/>
      <c r="M51" s="12" t="s">
        <v>215</v>
      </c>
      <c r="N51" s="45">
        <v>42916</v>
      </c>
      <c r="O51" s="12" t="s">
        <v>3255</v>
      </c>
      <c r="P51" s="12" t="s">
        <v>3256</v>
      </c>
      <c r="Q51" s="12" t="s">
        <v>60</v>
      </c>
      <c r="R51" s="12"/>
      <c r="S51" s="12"/>
      <c r="T51" s="1"/>
      <c r="U51" s="17"/>
      <c r="V51" s="12"/>
    </row>
    <row r="52" spans="1:22" ht="78" customHeight="1" x14ac:dyDescent="0.25">
      <c r="A52" s="12" t="s">
        <v>3257</v>
      </c>
      <c r="B52" s="12" t="s">
        <v>129</v>
      </c>
      <c r="C52" s="12" t="s">
        <v>130</v>
      </c>
      <c r="D52" s="12" t="s">
        <v>67</v>
      </c>
      <c r="E52" s="12" t="s">
        <v>3164</v>
      </c>
      <c r="F52" s="12" t="s">
        <v>56</v>
      </c>
      <c r="G52" s="12" t="s">
        <v>3258</v>
      </c>
      <c r="H52" s="12" t="s">
        <v>3161</v>
      </c>
      <c r="I52" s="45">
        <v>41640</v>
      </c>
      <c r="J52" s="45"/>
      <c r="K52" s="12" t="s">
        <v>91</v>
      </c>
      <c r="L52" s="12"/>
      <c r="M52" s="12" t="s">
        <v>215</v>
      </c>
      <c r="N52" s="45">
        <v>44525</v>
      </c>
      <c r="O52" s="12" t="s">
        <v>3259</v>
      </c>
      <c r="P52" s="12"/>
      <c r="Q52" s="12" t="s">
        <v>60</v>
      </c>
      <c r="R52" s="12"/>
      <c r="S52" s="12"/>
      <c r="T52" s="1"/>
      <c r="U52" s="17"/>
      <c r="V52" s="12"/>
    </row>
    <row r="53" spans="1:22" ht="104.1" customHeight="1" x14ac:dyDescent="0.25">
      <c r="A53" s="12" t="s">
        <v>3260</v>
      </c>
      <c r="B53" s="12" t="s">
        <v>129</v>
      </c>
      <c r="C53" s="12" t="s">
        <v>130</v>
      </c>
      <c r="D53" s="12" t="s">
        <v>67</v>
      </c>
      <c r="E53" s="12" t="s">
        <v>3132</v>
      </c>
      <c r="F53" s="12" t="s">
        <v>56</v>
      </c>
      <c r="G53" s="12" t="s">
        <v>3261</v>
      </c>
      <c r="H53" s="12" t="s">
        <v>3262</v>
      </c>
      <c r="I53" s="45">
        <v>41883</v>
      </c>
      <c r="J53" s="45"/>
      <c r="K53" s="12" t="s">
        <v>59</v>
      </c>
      <c r="L53" s="12"/>
      <c r="M53" s="12" t="s">
        <v>60</v>
      </c>
      <c r="N53" s="45"/>
      <c r="O53" s="12"/>
      <c r="P53" s="12"/>
      <c r="Q53" s="12" t="s">
        <v>60</v>
      </c>
      <c r="R53" s="12"/>
      <c r="S53" s="12"/>
      <c r="T53" s="1"/>
      <c r="U53" s="17"/>
      <c r="V53" s="12"/>
    </row>
    <row r="54" spans="1:22" ht="65.099999999999994" customHeight="1" x14ac:dyDescent="0.25">
      <c r="A54" s="12" t="s">
        <v>3263</v>
      </c>
      <c r="B54" s="12" t="s">
        <v>129</v>
      </c>
      <c r="C54" s="12" t="s">
        <v>130</v>
      </c>
      <c r="D54" s="12" t="s">
        <v>88</v>
      </c>
      <c r="E54" s="12" t="s">
        <v>3159</v>
      </c>
      <c r="F54" s="12" t="s">
        <v>56</v>
      </c>
      <c r="G54" s="12" t="s">
        <v>3264</v>
      </c>
      <c r="H54" s="12" t="s">
        <v>3161</v>
      </c>
      <c r="I54" s="45">
        <v>41640</v>
      </c>
      <c r="J54" s="45">
        <v>41582</v>
      </c>
      <c r="K54" s="12" t="s">
        <v>91</v>
      </c>
      <c r="L54" s="12"/>
      <c r="M54" s="12" t="s">
        <v>215</v>
      </c>
      <c r="N54" s="45">
        <v>44525</v>
      </c>
      <c r="O54" s="12" t="s">
        <v>3259</v>
      </c>
      <c r="P54" s="12"/>
      <c r="Q54" s="12" t="s">
        <v>60</v>
      </c>
      <c r="R54" s="12"/>
      <c r="S54" s="12"/>
      <c r="T54" s="1"/>
      <c r="U54" s="17"/>
      <c r="V54" s="12"/>
    </row>
    <row r="55" spans="1:22" ht="117" customHeight="1" x14ac:dyDescent="0.25">
      <c r="A55" s="12" t="s">
        <v>3265</v>
      </c>
      <c r="B55" s="12" t="s">
        <v>140</v>
      </c>
      <c r="C55" s="12" t="s">
        <v>141</v>
      </c>
      <c r="D55" s="12" t="s">
        <v>67</v>
      </c>
      <c r="E55" s="12" t="s">
        <v>3159</v>
      </c>
      <c r="F55" s="12" t="s">
        <v>56</v>
      </c>
      <c r="G55" s="12" t="s">
        <v>3266</v>
      </c>
      <c r="H55" s="12" t="s">
        <v>3161</v>
      </c>
      <c r="I55" s="45">
        <v>41640</v>
      </c>
      <c r="J55" s="45">
        <v>41640</v>
      </c>
      <c r="K55" s="12" t="s">
        <v>91</v>
      </c>
      <c r="L55" s="12"/>
      <c r="M55" s="12" t="s">
        <v>60</v>
      </c>
      <c r="N55" s="45"/>
      <c r="O55" s="12"/>
      <c r="P55" s="12"/>
      <c r="Q55" s="12" t="s">
        <v>60</v>
      </c>
      <c r="R55" s="12"/>
      <c r="S55" s="12"/>
      <c r="T55" s="1"/>
      <c r="U55" s="17"/>
      <c r="V55" s="12"/>
    </row>
    <row r="56" spans="1:22" ht="78" customHeight="1" x14ac:dyDescent="0.25">
      <c r="A56" s="12" t="s">
        <v>3267</v>
      </c>
      <c r="B56" s="12" t="s">
        <v>140</v>
      </c>
      <c r="C56" s="12" t="s">
        <v>768</v>
      </c>
      <c r="D56" s="12" t="s">
        <v>220</v>
      </c>
      <c r="E56" s="12" t="s">
        <v>3159</v>
      </c>
      <c r="F56" s="12" t="s">
        <v>56</v>
      </c>
      <c r="G56" s="12" t="s">
        <v>3268</v>
      </c>
      <c r="H56" s="12" t="s">
        <v>3161</v>
      </c>
      <c r="I56" s="45">
        <v>45473</v>
      </c>
      <c r="J56" s="45">
        <v>45278</v>
      </c>
      <c r="K56" s="12" t="s">
        <v>91</v>
      </c>
      <c r="L56" s="12" t="s">
        <v>3265</v>
      </c>
      <c r="M56" s="12" t="s">
        <v>60</v>
      </c>
      <c r="N56" s="45"/>
      <c r="O56" s="12"/>
      <c r="P56" s="12" t="s">
        <v>3269</v>
      </c>
      <c r="Q56" s="12" t="s">
        <v>60</v>
      </c>
      <c r="R56" s="12"/>
      <c r="S56" s="12"/>
      <c r="T56" s="1"/>
      <c r="U56" s="17"/>
      <c r="V56" s="12"/>
    </row>
    <row r="57" spans="1:22" ht="51.95" customHeight="1" x14ac:dyDescent="0.25">
      <c r="A57" s="12" t="s">
        <v>3270</v>
      </c>
      <c r="B57" s="12" t="s">
        <v>143</v>
      </c>
      <c r="C57" s="12" t="s">
        <v>144</v>
      </c>
      <c r="D57" s="12" t="s">
        <v>77</v>
      </c>
      <c r="E57" s="12" t="s">
        <v>3164</v>
      </c>
      <c r="F57" s="12" t="s">
        <v>56</v>
      </c>
      <c r="G57" s="12" t="s">
        <v>3271</v>
      </c>
      <c r="H57" s="12" t="s">
        <v>3161</v>
      </c>
      <c r="I57" s="45">
        <v>42036</v>
      </c>
      <c r="J57" s="45">
        <v>42024</v>
      </c>
      <c r="K57" s="12" t="s">
        <v>59</v>
      </c>
      <c r="L57" s="12"/>
      <c r="M57" s="12" t="s">
        <v>60</v>
      </c>
      <c r="N57" s="45"/>
      <c r="O57" s="12"/>
      <c r="P57" s="12"/>
      <c r="Q57" s="12" t="s">
        <v>60</v>
      </c>
      <c r="R57" s="12"/>
      <c r="S57" s="12"/>
      <c r="T57" s="1"/>
      <c r="U57" s="17"/>
      <c r="V57" s="12"/>
    </row>
    <row r="58" spans="1:22" ht="90.95" customHeight="1" x14ac:dyDescent="0.25">
      <c r="A58" s="12" t="s">
        <v>3272</v>
      </c>
      <c r="B58" s="12" t="s">
        <v>150</v>
      </c>
      <c r="C58" s="12" t="s">
        <v>151</v>
      </c>
      <c r="D58" s="12" t="s">
        <v>1561</v>
      </c>
      <c r="E58" s="12" t="s">
        <v>3118</v>
      </c>
      <c r="F58" s="12" t="s">
        <v>56</v>
      </c>
      <c r="G58" s="12" t="s">
        <v>3273</v>
      </c>
      <c r="H58" s="12" t="s">
        <v>3274</v>
      </c>
      <c r="I58" s="45">
        <v>41456</v>
      </c>
      <c r="J58" s="45">
        <v>41254</v>
      </c>
      <c r="K58" s="12" t="s">
        <v>59</v>
      </c>
      <c r="L58" s="12"/>
      <c r="M58" s="12" t="s">
        <v>60</v>
      </c>
      <c r="N58" s="45"/>
      <c r="O58" s="12"/>
      <c r="P58" s="12" t="s">
        <v>3275</v>
      </c>
      <c r="Q58" s="12" t="s">
        <v>60</v>
      </c>
      <c r="R58" s="12"/>
      <c r="S58" s="12"/>
      <c r="T58" s="1"/>
      <c r="U58" s="17"/>
      <c r="V58" s="12"/>
    </row>
    <row r="59" spans="1:22" ht="78" customHeight="1" x14ac:dyDescent="0.25">
      <c r="A59" s="12" t="s">
        <v>3276</v>
      </c>
      <c r="B59" s="12" t="s">
        <v>150</v>
      </c>
      <c r="C59" s="12" t="s">
        <v>151</v>
      </c>
      <c r="D59" s="12" t="s">
        <v>1561</v>
      </c>
      <c r="E59" s="12" t="s">
        <v>3118</v>
      </c>
      <c r="F59" s="12" t="s">
        <v>56</v>
      </c>
      <c r="G59" s="12" t="s">
        <v>3277</v>
      </c>
      <c r="H59" s="12" t="s">
        <v>3274</v>
      </c>
      <c r="I59" s="45">
        <v>41456</v>
      </c>
      <c r="J59" s="45">
        <v>41254</v>
      </c>
      <c r="K59" s="12" t="s">
        <v>91</v>
      </c>
      <c r="L59" s="12"/>
      <c r="M59" s="12" t="s">
        <v>215</v>
      </c>
      <c r="N59" s="45">
        <v>41639</v>
      </c>
      <c r="O59" s="12"/>
      <c r="P59" s="12" t="s">
        <v>3275</v>
      </c>
      <c r="Q59" s="12" t="s">
        <v>60</v>
      </c>
      <c r="R59" s="12"/>
      <c r="S59" s="12"/>
      <c r="T59" s="1"/>
      <c r="U59" s="17"/>
      <c r="V59" s="12"/>
    </row>
    <row r="60" spans="1:22" ht="168.95" customHeight="1" x14ac:dyDescent="0.25">
      <c r="A60" s="12" t="s">
        <v>3278</v>
      </c>
      <c r="B60" s="12" t="s">
        <v>150</v>
      </c>
      <c r="C60" s="12" t="s">
        <v>151</v>
      </c>
      <c r="D60" s="12" t="s">
        <v>126</v>
      </c>
      <c r="E60" s="12" t="s">
        <v>3118</v>
      </c>
      <c r="F60" s="12" t="s">
        <v>56</v>
      </c>
      <c r="G60" s="12" t="s">
        <v>3279</v>
      </c>
      <c r="H60" s="12" t="s">
        <v>3274</v>
      </c>
      <c r="I60" s="45">
        <v>42736</v>
      </c>
      <c r="J60" s="45">
        <v>42612</v>
      </c>
      <c r="K60" s="12" t="s">
        <v>59</v>
      </c>
      <c r="L60" s="12"/>
      <c r="M60" s="12" t="s">
        <v>60</v>
      </c>
      <c r="N60" s="45"/>
      <c r="O60" s="12"/>
      <c r="P60" s="12" t="s">
        <v>3280</v>
      </c>
      <c r="Q60" s="12" t="s">
        <v>60</v>
      </c>
      <c r="R60" s="12"/>
      <c r="S60" s="12"/>
      <c r="T60" s="1"/>
      <c r="U60" s="17"/>
      <c r="V60" s="12"/>
    </row>
    <row r="61" spans="1:22" ht="273" customHeight="1" x14ac:dyDescent="0.25">
      <c r="A61" s="12" t="s">
        <v>3281</v>
      </c>
      <c r="B61" s="12" t="s">
        <v>157</v>
      </c>
      <c r="C61" s="12" t="s">
        <v>158</v>
      </c>
      <c r="D61" s="12" t="s">
        <v>67</v>
      </c>
      <c r="E61" s="12" t="s">
        <v>3164</v>
      </c>
      <c r="F61" s="12" t="s">
        <v>56</v>
      </c>
      <c r="G61" s="12" t="s">
        <v>3282</v>
      </c>
      <c r="H61" s="12" t="s">
        <v>3161</v>
      </c>
      <c r="I61" s="45">
        <v>39448</v>
      </c>
      <c r="J61" s="45">
        <v>43100</v>
      </c>
      <c r="K61" s="12" t="s">
        <v>59</v>
      </c>
      <c r="L61" s="12"/>
      <c r="M61" s="12" t="s">
        <v>60</v>
      </c>
      <c r="N61" s="45"/>
      <c r="O61" s="12"/>
      <c r="P61" s="12" t="s">
        <v>3283</v>
      </c>
      <c r="Q61" s="12" t="s">
        <v>60</v>
      </c>
      <c r="R61" s="12"/>
      <c r="S61" s="12"/>
      <c r="T61" s="1"/>
      <c r="U61" s="17"/>
      <c r="V61" s="12"/>
    </row>
    <row r="62" spans="1:22" ht="129.94999999999999" customHeight="1" x14ac:dyDescent="0.25">
      <c r="A62" s="12" t="s">
        <v>3284</v>
      </c>
      <c r="B62" s="12" t="s">
        <v>157</v>
      </c>
      <c r="C62" s="12" t="s">
        <v>158</v>
      </c>
      <c r="D62" s="12" t="s">
        <v>88</v>
      </c>
      <c r="E62" s="12" t="s">
        <v>28</v>
      </c>
      <c r="F62" s="12" t="s">
        <v>212</v>
      </c>
      <c r="G62" s="12" t="s">
        <v>3285</v>
      </c>
      <c r="H62" s="12" t="s">
        <v>90</v>
      </c>
      <c r="I62" s="45">
        <v>41640</v>
      </c>
      <c r="J62" s="45">
        <v>41609</v>
      </c>
      <c r="K62" s="12" t="s">
        <v>91</v>
      </c>
      <c r="L62" s="12"/>
      <c r="M62" s="12" t="s">
        <v>215</v>
      </c>
      <c r="N62" s="45">
        <v>44945</v>
      </c>
      <c r="O62" s="12"/>
      <c r="P62" s="12" t="s">
        <v>3286</v>
      </c>
      <c r="Q62" s="12" t="s">
        <v>60</v>
      </c>
      <c r="R62" s="12"/>
      <c r="S62" s="12"/>
      <c r="T62" s="1"/>
      <c r="U62" s="17"/>
      <c r="V62" s="12"/>
    </row>
    <row r="63" spans="1:22" ht="90.95" customHeight="1" x14ac:dyDescent="0.25">
      <c r="A63" s="12" t="s">
        <v>3287</v>
      </c>
      <c r="B63" s="12" t="s">
        <v>157</v>
      </c>
      <c r="C63" s="12" t="s">
        <v>158</v>
      </c>
      <c r="D63" s="12" t="s">
        <v>83</v>
      </c>
      <c r="E63" s="12" t="s">
        <v>3132</v>
      </c>
      <c r="F63" s="12" t="s">
        <v>1307</v>
      </c>
      <c r="G63" s="12" t="s">
        <v>3288</v>
      </c>
      <c r="H63" s="12" t="s">
        <v>90</v>
      </c>
      <c r="I63" s="45">
        <v>42713</v>
      </c>
      <c r="J63" s="45"/>
      <c r="K63" s="12" t="s">
        <v>91</v>
      </c>
      <c r="L63" s="12"/>
      <c r="M63" s="12" t="s">
        <v>215</v>
      </c>
      <c r="N63" s="45">
        <v>44945</v>
      </c>
      <c r="O63" s="12"/>
      <c r="P63" s="12" t="s">
        <v>3289</v>
      </c>
      <c r="Q63" s="12" t="s">
        <v>60</v>
      </c>
      <c r="R63" s="12"/>
      <c r="S63" s="12"/>
      <c r="T63" s="1"/>
      <c r="U63" s="17"/>
      <c r="V63" s="12"/>
    </row>
    <row r="64" spans="1:22" ht="168.95" customHeight="1" x14ac:dyDescent="0.25">
      <c r="A64" s="12" t="s">
        <v>3290</v>
      </c>
      <c r="B64" s="12" t="s">
        <v>157</v>
      </c>
      <c r="C64" s="12" t="s">
        <v>158</v>
      </c>
      <c r="D64" s="12" t="s">
        <v>220</v>
      </c>
      <c r="E64" s="12" t="s">
        <v>3132</v>
      </c>
      <c r="F64" s="12" t="s">
        <v>1204</v>
      </c>
      <c r="G64" s="12" t="s">
        <v>3291</v>
      </c>
      <c r="H64" s="12" t="s">
        <v>1381</v>
      </c>
      <c r="I64" s="45">
        <v>44945</v>
      </c>
      <c r="J64" s="45">
        <v>44942</v>
      </c>
      <c r="K64" s="12" t="s">
        <v>59</v>
      </c>
      <c r="L64" s="12"/>
      <c r="M64" s="12" t="s">
        <v>60</v>
      </c>
      <c r="N64" s="45"/>
      <c r="O64" s="12"/>
      <c r="P64" s="12" t="s">
        <v>3292</v>
      </c>
      <c r="Q64" s="12" t="s">
        <v>60</v>
      </c>
      <c r="R64" s="12"/>
      <c r="S64" s="12"/>
      <c r="T64" s="1"/>
      <c r="U64" s="17"/>
      <c r="V64" s="12"/>
    </row>
    <row r="65" spans="1:22" ht="207.95" customHeight="1" x14ac:dyDescent="0.25">
      <c r="A65" s="12" t="s">
        <v>3293</v>
      </c>
      <c r="B65" s="12" t="s">
        <v>163</v>
      </c>
      <c r="C65" s="12" t="s">
        <v>164</v>
      </c>
      <c r="D65" s="12" t="s">
        <v>252</v>
      </c>
      <c r="E65" s="12" t="s">
        <v>3098</v>
      </c>
      <c r="F65" s="12" t="s">
        <v>56</v>
      </c>
      <c r="G65" s="12" t="s">
        <v>3294</v>
      </c>
      <c r="H65" s="12" t="s">
        <v>1867</v>
      </c>
      <c r="I65" s="45">
        <v>45627</v>
      </c>
      <c r="J65" s="45">
        <v>45484</v>
      </c>
      <c r="K65" s="12" t="s">
        <v>59</v>
      </c>
      <c r="L65" s="12" t="s">
        <v>3111</v>
      </c>
      <c r="M65" s="12" t="s">
        <v>60</v>
      </c>
      <c r="N65" s="45"/>
      <c r="O65" s="12"/>
      <c r="P65" s="12" t="s">
        <v>3295</v>
      </c>
      <c r="Q65" s="12" t="s">
        <v>60</v>
      </c>
      <c r="R65" s="12"/>
      <c r="S65" s="12"/>
      <c r="T65" s="1"/>
      <c r="U65" s="17"/>
      <c r="V65" s="12"/>
    </row>
    <row r="66" spans="1:22" ht="90.95" customHeight="1" x14ac:dyDescent="0.25">
      <c r="A66" s="12" t="s">
        <v>3112</v>
      </c>
      <c r="B66" s="12" t="s">
        <v>163</v>
      </c>
      <c r="C66" s="12" t="s">
        <v>164</v>
      </c>
      <c r="D66" s="12" t="s">
        <v>224</v>
      </c>
      <c r="E66" s="12" t="s">
        <v>3098</v>
      </c>
      <c r="F66" s="12" t="s">
        <v>56</v>
      </c>
      <c r="G66" s="12" t="s">
        <v>3296</v>
      </c>
      <c r="H66" s="12" t="s">
        <v>1867</v>
      </c>
      <c r="I66" s="45">
        <v>44896</v>
      </c>
      <c r="J66" s="45">
        <v>44774</v>
      </c>
      <c r="K66" s="12" t="s">
        <v>59</v>
      </c>
      <c r="L66" s="12" t="s">
        <v>3111</v>
      </c>
      <c r="M66" s="12" t="s">
        <v>60</v>
      </c>
      <c r="N66" s="45"/>
      <c r="O66" s="12"/>
      <c r="P66" s="12"/>
      <c r="Q66" s="12" t="s">
        <v>215</v>
      </c>
      <c r="R66" s="12" t="s">
        <v>1270</v>
      </c>
      <c r="S66" s="12">
        <v>10</v>
      </c>
      <c r="T66" s="1"/>
      <c r="U66" s="17"/>
      <c r="V66" s="12"/>
    </row>
    <row r="67" spans="1:22" ht="51.95" customHeight="1" x14ac:dyDescent="0.25">
      <c r="A67" s="12" t="s">
        <v>3111</v>
      </c>
      <c r="B67" s="12" t="s">
        <v>163</v>
      </c>
      <c r="C67" s="12" t="s">
        <v>164</v>
      </c>
      <c r="D67" s="12" t="s">
        <v>232</v>
      </c>
      <c r="E67" s="12" t="s">
        <v>3098</v>
      </c>
      <c r="F67" s="12" t="s">
        <v>212</v>
      </c>
      <c r="G67" s="12" t="s">
        <v>3297</v>
      </c>
      <c r="H67" s="12" t="s">
        <v>1867</v>
      </c>
      <c r="I67" s="45">
        <v>44562</v>
      </c>
      <c r="J67" s="45">
        <v>43816</v>
      </c>
      <c r="K67" s="12" t="s">
        <v>91</v>
      </c>
      <c r="L67" s="12"/>
      <c r="M67" s="12" t="s">
        <v>60</v>
      </c>
      <c r="N67" s="45"/>
      <c r="O67" s="12"/>
      <c r="P67" s="12"/>
      <c r="Q67" s="12" t="s">
        <v>215</v>
      </c>
      <c r="R67" s="12"/>
      <c r="S67" s="12">
        <v>11</v>
      </c>
      <c r="T67" s="1"/>
      <c r="U67" s="17"/>
      <c r="V67" s="12"/>
    </row>
    <row r="68" spans="1:22" ht="65.099999999999994" customHeight="1" x14ac:dyDescent="0.25">
      <c r="A68" s="12" t="s">
        <v>3298</v>
      </c>
      <c r="B68" s="12" t="s">
        <v>166</v>
      </c>
      <c r="C68" s="12" t="s">
        <v>523</v>
      </c>
      <c r="D68" s="12" t="s">
        <v>88</v>
      </c>
      <c r="E68" s="12" t="s">
        <v>3299</v>
      </c>
      <c r="F68" s="12" t="s">
        <v>56</v>
      </c>
      <c r="G68" s="12" t="s">
        <v>3300</v>
      </c>
      <c r="H68" s="12" t="s">
        <v>3301</v>
      </c>
      <c r="I68" s="45">
        <v>41640</v>
      </c>
      <c r="J68" s="45">
        <v>41560</v>
      </c>
      <c r="K68" s="12" t="s">
        <v>59</v>
      </c>
      <c r="L68" s="12"/>
      <c r="M68" s="12" t="s">
        <v>60</v>
      </c>
      <c r="N68" s="45"/>
      <c r="O68" s="12"/>
      <c r="P68" s="12" t="s">
        <v>3302</v>
      </c>
      <c r="Q68" s="12" t="s">
        <v>60</v>
      </c>
      <c r="R68" s="12"/>
      <c r="S68" s="12"/>
      <c r="T68" s="1"/>
      <c r="U68" s="17"/>
      <c r="V68" s="12"/>
    </row>
    <row r="69" spans="1:22" ht="51.95" customHeight="1" x14ac:dyDescent="0.25">
      <c r="A69" s="12" t="s">
        <v>3303</v>
      </c>
      <c r="B69" s="12" t="s">
        <v>166</v>
      </c>
      <c r="C69" s="12" t="s">
        <v>167</v>
      </c>
      <c r="D69" s="12" t="s">
        <v>252</v>
      </c>
      <c r="E69" s="12" t="s">
        <v>3098</v>
      </c>
      <c r="F69" s="12" t="s">
        <v>56</v>
      </c>
      <c r="G69" s="12" t="s">
        <v>3304</v>
      </c>
      <c r="H69" s="12" t="s">
        <v>1867</v>
      </c>
      <c r="I69" s="45">
        <v>45657</v>
      </c>
      <c r="J69" s="45">
        <v>45632</v>
      </c>
      <c r="K69" s="12" t="s">
        <v>59</v>
      </c>
      <c r="L69" s="12"/>
      <c r="M69" s="12" t="s">
        <v>60</v>
      </c>
      <c r="N69" s="45"/>
      <c r="O69" s="12"/>
      <c r="P69" s="12"/>
      <c r="Q69" s="12" t="s">
        <v>60</v>
      </c>
      <c r="R69" s="12"/>
      <c r="S69" s="12"/>
      <c r="T69" s="1"/>
      <c r="U69" s="17"/>
      <c r="V69" s="12"/>
    </row>
    <row r="70" spans="1:22" ht="168.95" customHeight="1" x14ac:dyDescent="0.25">
      <c r="A70" s="12" t="s">
        <v>3115</v>
      </c>
      <c r="B70" s="12" t="s">
        <v>166</v>
      </c>
      <c r="C70" s="12" t="s">
        <v>167</v>
      </c>
      <c r="D70" s="12" t="s">
        <v>232</v>
      </c>
      <c r="E70" s="12" t="s">
        <v>3098</v>
      </c>
      <c r="F70" s="12" t="s">
        <v>56</v>
      </c>
      <c r="G70" s="12" t="s">
        <v>3305</v>
      </c>
      <c r="H70" s="12" t="s">
        <v>1867</v>
      </c>
      <c r="I70" s="45">
        <v>44196</v>
      </c>
      <c r="J70" s="45">
        <v>44173</v>
      </c>
      <c r="K70" s="12" t="s">
        <v>91</v>
      </c>
      <c r="L70" s="12"/>
      <c r="M70" s="12" t="s">
        <v>60</v>
      </c>
      <c r="N70" s="45"/>
      <c r="O70" s="12"/>
      <c r="P70" s="12" t="s">
        <v>921</v>
      </c>
      <c r="Q70" s="12" t="s">
        <v>215</v>
      </c>
      <c r="R70" s="12" t="s">
        <v>1296</v>
      </c>
      <c r="S70" s="12">
        <v>23</v>
      </c>
      <c r="T70" s="1"/>
      <c r="U70" s="17"/>
      <c r="V70" s="12"/>
    </row>
    <row r="71" spans="1:22" ht="195" customHeight="1" x14ac:dyDescent="0.25">
      <c r="A71" s="12" t="s">
        <v>3116</v>
      </c>
      <c r="B71" s="12" t="s">
        <v>166</v>
      </c>
      <c r="C71" s="12" t="s">
        <v>167</v>
      </c>
      <c r="D71" s="12" t="s">
        <v>232</v>
      </c>
      <c r="E71" s="12" t="s">
        <v>3098</v>
      </c>
      <c r="F71" s="12" t="s">
        <v>56</v>
      </c>
      <c r="G71" s="12" t="s">
        <v>3306</v>
      </c>
      <c r="H71" s="12" t="s">
        <v>1867</v>
      </c>
      <c r="I71" s="45">
        <v>44196</v>
      </c>
      <c r="J71" s="45">
        <v>44173</v>
      </c>
      <c r="K71" s="12" t="s">
        <v>91</v>
      </c>
      <c r="L71" s="12"/>
      <c r="M71" s="12" t="s">
        <v>60</v>
      </c>
      <c r="N71" s="45"/>
      <c r="O71" s="12"/>
      <c r="P71" s="12" t="s">
        <v>921</v>
      </c>
      <c r="Q71" s="12" t="s">
        <v>215</v>
      </c>
      <c r="R71" s="12" t="s">
        <v>1296</v>
      </c>
      <c r="S71" s="12">
        <v>22</v>
      </c>
      <c r="T71" s="1"/>
      <c r="U71" s="17"/>
      <c r="V71" s="12"/>
    </row>
    <row r="72" spans="1:22" ht="65.099999999999994" customHeight="1" x14ac:dyDescent="0.25">
      <c r="A72" s="12" t="s">
        <v>3114</v>
      </c>
      <c r="B72" s="12" t="s">
        <v>166</v>
      </c>
      <c r="C72" s="12" t="s">
        <v>167</v>
      </c>
      <c r="D72" s="12" t="s">
        <v>224</v>
      </c>
      <c r="E72" s="12" t="s">
        <v>3098</v>
      </c>
      <c r="F72" s="12" t="s">
        <v>56</v>
      </c>
      <c r="G72" s="12" t="s">
        <v>3307</v>
      </c>
      <c r="H72" s="12" t="s">
        <v>1867</v>
      </c>
      <c r="I72" s="45">
        <v>44926</v>
      </c>
      <c r="J72" s="45">
        <v>44911</v>
      </c>
      <c r="K72" s="12" t="s">
        <v>91</v>
      </c>
      <c r="L72" s="12" t="s">
        <v>3115</v>
      </c>
      <c r="M72" s="12" t="s">
        <v>60</v>
      </c>
      <c r="N72" s="45"/>
      <c r="O72" s="12"/>
      <c r="P72" s="12"/>
      <c r="Q72" s="12" t="s">
        <v>215</v>
      </c>
      <c r="R72" s="12" t="s">
        <v>1292</v>
      </c>
      <c r="S72" s="12">
        <v>9</v>
      </c>
      <c r="T72" s="1"/>
      <c r="U72" s="17"/>
      <c r="V72" s="12"/>
    </row>
    <row r="73" spans="1:22" ht="65.099999999999994" customHeight="1" x14ac:dyDescent="0.25">
      <c r="A73" s="12" t="s">
        <v>3308</v>
      </c>
      <c r="B73" s="12" t="s">
        <v>166</v>
      </c>
      <c r="C73" s="12" t="s">
        <v>167</v>
      </c>
      <c r="D73" s="12" t="s">
        <v>252</v>
      </c>
      <c r="E73" s="12" t="s">
        <v>3098</v>
      </c>
      <c r="F73" s="12" t="s">
        <v>56</v>
      </c>
      <c r="G73" s="12" t="s">
        <v>3309</v>
      </c>
      <c r="H73" s="12" t="s">
        <v>1867</v>
      </c>
      <c r="I73" s="45">
        <v>45657</v>
      </c>
      <c r="J73" s="45"/>
      <c r="K73" s="12" t="s">
        <v>59</v>
      </c>
      <c r="L73" s="12"/>
      <c r="M73" s="12" t="s">
        <v>60</v>
      </c>
      <c r="N73" s="45"/>
      <c r="O73" s="12"/>
      <c r="P73" s="12"/>
      <c r="Q73" s="12" t="s">
        <v>60</v>
      </c>
      <c r="R73" s="12"/>
      <c r="S73" s="12"/>
      <c r="T73" s="1"/>
      <c r="U73" s="17"/>
      <c r="V73" s="12"/>
    </row>
    <row r="74" spans="1:22" ht="156" customHeight="1" x14ac:dyDescent="0.25">
      <c r="A74" s="12" t="s">
        <v>3310</v>
      </c>
      <c r="B74" s="12" t="s">
        <v>166</v>
      </c>
      <c r="C74" s="12" t="s">
        <v>167</v>
      </c>
      <c r="D74" s="12" t="s">
        <v>77</v>
      </c>
      <c r="E74" s="12" t="s">
        <v>24</v>
      </c>
      <c r="F74" s="12" t="s">
        <v>1770</v>
      </c>
      <c r="G74" s="12" t="s">
        <v>3311</v>
      </c>
      <c r="H74" s="12" t="s">
        <v>3312</v>
      </c>
      <c r="I74" s="45">
        <v>42369</v>
      </c>
      <c r="J74" s="45">
        <v>42333</v>
      </c>
      <c r="K74" s="12" t="s">
        <v>59</v>
      </c>
      <c r="L74" s="12"/>
      <c r="M74" s="12" t="s">
        <v>60</v>
      </c>
      <c r="N74" s="45"/>
      <c r="O74" s="12"/>
      <c r="P74" s="12" t="s">
        <v>3313</v>
      </c>
      <c r="Q74" s="12" t="s">
        <v>60</v>
      </c>
      <c r="R74" s="12"/>
      <c r="S74" s="12"/>
      <c r="T74" s="1"/>
      <c r="U74" s="17"/>
      <c r="V74" s="12"/>
    </row>
    <row r="75" spans="1:22" ht="51.95" customHeight="1" x14ac:dyDescent="0.25">
      <c r="A75" s="12" t="s">
        <v>3314</v>
      </c>
      <c r="B75" s="12" t="s">
        <v>166</v>
      </c>
      <c r="C75" s="12" t="s">
        <v>523</v>
      </c>
      <c r="D75" s="12" t="s">
        <v>67</v>
      </c>
      <c r="E75" s="12" t="s">
        <v>3159</v>
      </c>
      <c r="F75" s="12" t="s">
        <v>56</v>
      </c>
      <c r="G75" s="12" t="s">
        <v>3315</v>
      </c>
      <c r="H75" s="12" t="s">
        <v>3161</v>
      </c>
      <c r="I75" s="45">
        <v>41640</v>
      </c>
      <c r="J75" s="45"/>
      <c r="K75" s="12" t="s">
        <v>59</v>
      </c>
      <c r="L75" s="12"/>
      <c r="M75" s="12" t="s">
        <v>60</v>
      </c>
      <c r="N75" s="45"/>
      <c r="O75" s="12"/>
      <c r="P75" s="12"/>
      <c r="Q75" s="12" t="s">
        <v>60</v>
      </c>
      <c r="R75" s="12"/>
      <c r="S75" s="12"/>
      <c r="T75" s="1"/>
      <c r="U75" s="17"/>
      <c r="V75" s="12"/>
    </row>
    <row r="76" spans="1:22" ht="338.1" customHeight="1" x14ac:dyDescent="0.25">
      <c r="A76" s="12" t="s">
        <v>3117</v>
      </c>
      <c r="B76" s="12" t="s">
        <v>166</v>
      </c>
      <c r="C76" s="12" t="s">
        <v>523</v>
      </c>
      <c r="D76" s="12" t="s">
        <v>67</v>
      </c>
      <c r="E76" s="12" t="s">
        <v>3118</v>
      </c>
      <c r="F76" s="12" t="s">
        <v>56</v>
      </c>
      <c r="G76" s="12" t="s">
        <v>3316</v>
      </c>
      <c r="H76" s="12" t="s">
        <v>3119</v>
      </c>
      <c r="I76" s="45">
        <v>42005</v>
      </c>
      <c r="J76" s="45">
        <v>41821</v>
      </c>
      <c r="K76" s="12" t="s">
        <v>59</v>
      </c>
      <c r="L76" s="12"/>
      <c r="M76" s="12" t="s">
        <v>60</v>
      </c>
      <c r="N76" s="45"/>
      <c r="O76" s="12"/>
      <c r="P76" s="12" t="s">
        <v>3317</v>
      </c>
      <c r="Q76" s="12" t="s">
        <v>215</v>
      </c>
      <c r="R76" s="12"/>
      <c r="S76" s="12">
        <v>2</v>
      </c>
      <c r="T76" s="1"/>
      <c r="U76" s="17"/>
      <c r="V76" s="12"/>
    </row>
    <row r="77" spans="1:22" ht="104.1" customHeight="1" x14ac:dyDescent="0.25">
      <c r="A77" s="12" t="s">
        <v>3113</v>
      </c>
      <c r="B77" s="12" t="s">
        <v>166</v>
      </c>
      <c r="C77" s="12" t="s">
        <v>167</v>
      </c>
      <c r="D77" s="12" t="s">
        <v>224</v>
      </c>
      <c r="E77" s="12" t="s">
        <v>3098</v>
      </c>
      <c r="F77" s="12" t="s">
        <v>56</v>
      </c>
      <c r="G77" s="12" t="s">
        <v>3318</v>
      </c>
      <c r="H77" s="12" t="s">
        <v>1867</v>
      </c>
      <c r="I77" s="45">
        <v>44926</v>
      </c>
      <c r="J77" s="45">
        <v>44911</v>
      </c>
      <c r="K77" s="12" t="s">
        <v>91</v>
      </c>
      <c r="L77" s="12" t="s">
        <v>3116</v>
      </c>
      <c r="M77" s="12" t="s">
        <v>60</v>
      </c>
      <c r="N77" s="45"/>
      <c r="O77" s="12"/>
      <c r="P77" s="12"/>
      <c r="Q77" s="12" t="s">
        <v>215</v>
      </c>
      <c r="R77" s="12" t="s">
        <v>1292</v>
      </c>
      <c r="S77" s="12">
        <v>9</v>
      </c>
      <c r="T77" s="1"/>
      <c r="U77" s="17"/>
      <c r="V77" s="12"/>
    </row>
    <row r="78" spans="1:22" ht="90.95" customHeight="1" x14ac:dyDescent="0.25">
      <c r="A78" s="12" t="s">
        <v>3319</v>
      </c>
      <c r="B78" s="12" t="s">
        <v>166</v>
      </c>
      <c r="C78" s="12" t="s">
        <v>167</v>
      </c>
      <c r="D78" s="12" t="s">
        <v>252</v>
      </c>
      <c r="E78" s="12" t="s">
        <v>3159</v>
      </c>
      <c r="F78" s="12" t="s">
        <v>56</v>
      </c>
      <c r="G78" s="12" t="s">
        <v>3320</v>
      </c>
      <c r="H78" s="12" t="s">
        <v>3161</v>
      </c>
      <c r="I78" s="45">
        <v>45473</v>
      </c>
      <c r="J78" s="45">
        <v>45407</v>
      </c>
      <c r="K78" s="12" t="s">
        <v>59</v>
      </c>
      <c r="L78" s="12"/>
      <c r="M78" s="12" t="s">
        <v>60</v>
      </c>
      <c r="N78" s="45"/>
      <c r="O78" s="12"/>
      <c r="P78" s="12" t="s">
        <v>3321</v>
      </c>
      <c r="Q78" s="12" t="s">
        <v>60</v>
      </c>
      <c r="R78" s="12"/>
      <c r="S78" s="12"/>
      <c r="T78" s="1"/>
      <c r="U78" s="17"/>
      <c r="V78" s="12"/>
    </row>
    <row r="79" spans="1:22" ht="51.95" customHeight="1" x14ac:dyDescent="0.25">
      <c r="A79" s="12" t="s">
        <v>3322</v>
      </c>
      <c r="B79" s="12" t="s">
        <v>169</v>
      </c>
      <c r="C79" s="12" t="s">
        <v>1301</v>
      </c>
      <c r="D79" s="12" t="s">
        <v>220</v>
      </c>
      <c r="E79" s="12" t="s">
        <v>3164</v>
      </c>
      <c r="F79" s="12" t="s">
        <v>56</v>
      </c>
      <c r="G79" s="12" t="s">
        <v>3323</v>
      </c>
      <c r="H79" s="12" t="s">
        <v>3161</v>
      </c>
      <c r="I79" s="45">
        <v>45200</v>
      </c>
      <c r="J79" s="45">
        <v>45113</v>
      </c>
      <c r="K79" s="12" t="s">
        <v>91</v>
      </c>
      <c r="L79" s="12" t="s">
        <v>3324</v>
      </c>
      <c r="M79" s="12" t="s">
        <v>215</v>
      </c>
      <c r="N79" s="45">
        <v>45658</v>
      </c>
      <c r="O79" s="12"/>
      <c r="P79" s="12" t="s">
        <v>3325</v>
      </c>
      <c r="Q79" s="12" t="s">
        <v>60</v>
      </c>
      <c r="R79" s="12"/>
      <c r="S79" s="12"/>
      <c r="T79" s="1"/>
      <c r="U79" s="17"/>
      <c r="V79" s="12"/>
    </row>
    <row r="80" spans="1:22" ht="156" customHeight="1" x14ac:dyDescent="0.25">
      <c r="A80" s="12" t="s">
        <v>3324</v>
      </c>
      <c r="B80" s="12" t="s">
        <v>169</v>
      </c>
      <c r="C80" s="12" t="s">
        <v>1301</v>
      </c>
      <c r="D80" s="12" t="s">
        <v>83</v>
      </c>
      <c r="E80" s="12" t="s">
        <v>3164</v>
      </c>
      <c r="F80" s="12" t="s">
        <v>56</v>
      </c>
      <c r="G80" s="12" t="s">
        <v>3326</v>
      </c>
      <c r="H80" s="12" t="s">
        <v>3161</v>
      </c>
      <c r="I80" s="45">
        <v>43101</v>
      </c>
      <c r="J80" s="45">
        <v>42887</v>
      </c>
      <c r="K80" s="12" t="s">
        <v>91</v>
      </c>
      <c r="L80" s="12"/>
      <c r="M80" s="12" t="s">
        <v>215</v>
      </c>
      <c r="N80" s="45">
        <v>45658</v>
      </c>
      <c r="O80" s="12"/>
      <c r="P80" s="12" t="s">
        <v>3327</v>
      </c>
      <c r="Q80" s="12" t="s">
        <v>60</v>
      </c>
      <c r="R80" s="12"/>
      <c r="S80" s="12"/>
      <c r="T80" s="1"/>
      <c r="U80" s="17"/>
      <c r="V80" s="12"/>
    </row>
    <row r="81" spans="1:22" ht="143.1" customHeight="1" x14ac:dyDescent="0.25">
      <c r="A81" s="12" t="s">
        <v>3328</v>
      </c>
      <c r="B81" s="12" t="s">
        <v>169</v>
      </c>
      <c r="C81" s="12" t="s">
        <v>923</v>
      </c>
      <c r="D81" s="12" t="s">
        <v>88</v>
      </c>
      <c r="E81" s="12" t="s">
        <v>3132</v>
      </c>
      <c r="F81" s="12" t="s">
        <v>56</v>
      </c>
      <c r="G81" s="12" t="s">
        <v>3329</v>
      </c>
      <c r="H81" s="12" t="s">
        <v>90</v>
      </c>
      <c r="I81" s="45">
        <v>41640</v>
      </c>
      <c r="J81" s="45"/>
      <c r="K81" s="12" t="s">
        <v>59</v>
      </c>
      <c r="L81" s="12"/>
      <c r="M81" s="12" t="s">
        <v>60</v>
      </c>
      <c r="N81" s="45"/>
      <c r="O81" s="12"/>
      <c r="P81" s="12" t="s">
        <v>3330</v>
      </c>
      <c r="Q81" s="12" t="s">
        <v>60</v>
      </c>
      <c r="R81" s="12"/>
      <c r="S81" s="12"/>
      <c r="T81" s="1"/>
      <c r="U81" s="17"/>
      <c r="V81" s="12"/>
    </row>
    <row r="82" spans="1:22" ht="117" customHeight="1" x14ac:dyDescent="0.25">
      <c r="A82" s="12" t="s">
        <v>3331</v>
      </c>
      <c r="B82" s="12" t="s">
        <v>169</v>
      </c>
      <c r="C82" s="12" t="s">
        <v>923</v>
      </c>
      <c r="D82" s="12" t="s">
        <v>1609</v>
      </c>
      <c r="E82" s="12" t="s">
        <v>24</v>
      </c>
      <c r="F82" s="12" t="s">
        <v>1770</v>
      </c>
      <c r="G82" s="12" t="s">
        <v>3332</v>
      </c>
      <c r="H82" s="12" t="s">
        <v>90</v>
      </c>
      <c r="I82" s="45">
        <v>39629</v>
      </c>
      <c r="J82" s="45"/>
      <c r="K82" s="12" t="s">
        <v>91</v>
      </c>
      <c r="L82" s="12"/>
      <c r="M82" s="12" t="s">
        <v>215</v>
      </c>
      <c r="N82" s="45">
        <v>43101</v>
      </c>
      <c r="O82" s="12"/>
      <c r="P82" s="12" t="s">
        <v>3333</v>
      </c>
      <c r="Q82" s="12" t="s">
        <v>60</v>
      </c>
      <c r="R82" s="12"/>
      <c r="S82" s="12"/>
      <c r="T82" s="1"/>
      <c r="U82" s="17"/>
      <c r="V82" s="12"/>
    </row>
    <row r="83" spans="1:22" ht="51.95" customHeight="1" x14ac:dyDescent="0.25">
      <c r="A83" s="12" t="s">
        <v>3334</v>
      </c>
      <c r="B83" s="12" t="s">
        <v>169</v>
      </c>
      <c r="C83" s="12" t="s">
        <v>1301</v>
      </c>
      <c r="D83" s="12" t="s">
        <v>252</v>
      </c>
      <c r="E83" s="12" t="s">
        <v>3164</v>
      </c>
      <c r="F83" s="12" t="s">
        <v>56</v>
      </c>
      <c r="G83" s="12" t="s">
        <v>3335</v>
      </c>
      <c r="H83" s="12" t="s">
        <v>3161</v>
      </c>
      <c r="I83" s="45">
        <v>45658</v>
      </c>
      <c r="J83" s="45">
        <v>45555</v>
      </c>
      <c r="K83" s="12" t="s">
        <v>59</v>
      </c>
      <c r="L83" s="12"/>
      <c r="M83" s="12" t="s">
        <v>60</v>
      </c>
      <c r="N83" s="45"/>
      <c r="O83" s="12"/>
      <c r="P83" s="12" t="s">
        <v>3325</v>
      </c>
      <c r="Q83" s="12" t="s">
        <v>60</v>
      </c>
      <c r="R83" s="12"/>
      <c r="S83" s="12"/>
      <c r="T83" s="1"/>
      <c r="U83" s="17"/>
      <c r="V83" s="12"/>
    </row>
    <row r="84" spans="1:22" ht="51.95" customHeight="1" x14ac:dyDescent="0.25">
      <c r="A84" s="12" t="s">
        <v>3336</v>
      </c>
      <c r="B84" s="12" t="s">
        <v>169</v>
      </c>
      <c r="C84" s="12" t="s">
        <v>1301</v>
      </c>
      <c r="D84" s="12" t="s">
        <v>83</v>
      </c>
      <c r="E84" s="12" t="s">
        <v>3159</v>
      </c>
      <c r="F84" s="12" t="s">
        <v>56</v>
      </c>
      <c r="G84" s="12" t="s">
        <v>3337</v>
      </c>
      <c r="H84" s="12" t="s">
        <v>3161</v>
      </c>
      <c r="I84" s="45">
        <v>43101</v>
      </c>
      <c r="J84" s="45">
        <v>42917</v>
      </c>
      <c r="K84" s="12" t="s">
        <v>91</v>
      </c>
      <c r="L84" s="12"/>
      <c r="M84" s="12" t="s">
        <v>215</v>
      </c>
      <c r="N84" s="45">
        <v>44119</v>
      </c>
      <c r="O84" s="12"/>
      <c r="P84" s="12" t="s">
        <v>3325</v>
      </c>
      <c r="Q84" s="12" t="s">
        <v>60</v>
      </c>
      <c r="R84" s="12"/>
      <c r="S84" s="12"/>
      <c r="T84" s="1"/>
      <c r="U84" s="17"/>
      <c r="V84" s="12"/>
    </row>
    <row r="85" spans="1:22" ht="65.099999999999994" customHeight="1" x14ac:dyDescent="0.25">
      <c r="A85" s="12" t="s">
        <v>3338</v>
      </c>
      <c r="B85" s="12" t="s">
        <v>169</v>
      </c>
      <c r="C85" s="12" t="s">
        <v>1301</v>
      </c>
      <c r="D85" s="12" t="s">
        <v>232</v>
      </c>
      <c r="E85" s="12" t="s">
        <v>3159</v>
      </c>
      <c r="F85" s="12" t="s">
        <v>56</v>
      </c>
      <c r="G85" s="12" t="s">
        <v>3339</v>
      </c>
      <c r="H85" s="12" t="s">
        <v>3161</v>
      </c>
      <c r="I85" s="45">
        <v>44120</v>
      </c>
      <c r="J85" s="45">
        <v>44119</v>
      </c>
      <c r="K85" s="12" t="s">
        <v>91</v>
      </c>
      <c r="L85" s="12" t="s">
        <v>3336</v>
      </c>
      <c r="M85" s="12" t="s">
        <v>215</v>
      </c>
      <c r="N85" s="45">
        <v>45658</v>
      </c>
      <c r="O85" s="12"/>
      <c r="P85" s="12" t="s">
        <v>3325</v>
      </c>
      <c r="Q85" s="12" t="s">
        <v>60</v>
      </c>
      <c r="R85" s="12"/>
      <c r="S85" s="12"/>
      <c r="T85" s="1"/>
      <c r="U85" s="17"/>
      <c r="V85" s="12"/>
    </row>
    <row r="86" spans="1:22" ht="143.1" customHeight="1" x14ac:dyDescent="0.25">
      <c r="A86" s="12" t="s">
        <v>3340</v>
      </c>
      <c r="B86" s="12" t="s">
        <v>169</v>
      </c>
      <c r="C86" s="12" t="s">
        <v>170</v>
      </c>
      <c r="D86" s="12" t="s">
        <v>83</v>
      </c>
      <c r="E86" s="12" t="s">
        <v>3132</v>
      </c>
      <c r="F86" s="12" t="s">
        <v>56</v>
      </c>
      <c r="G86" s="12" t="s">
        <v>3341</v>
      </c>
      <c r="H86" s="12" t="s">
        <v>1768</v>
      </c>
      <c r="I86" s="45">
        <v>42748</v>
      </c>
      <c r="J86" s="45">
        <v>42748</v>
      </c>
      <c r="K86" s="12" t="s">
        <v>91</v>
      </c>
      <c r="L86" s="12"/>
      <c r="M86" s="12" t="s">
        <v>215</v>
      </c>
      <c r="N86" s="45">
        <v>45658</v>
      </c>
      <c r="O86" s="12"/>
      <c r="P86" s="12" t="s">
        <v>3325</v>
      </c>
      <c r="Q86" s="12" t="s">
        <v>60</v>
      </c>
      <c r="R86" s="12"/>
      <c r="S86" s="12"/>
      <c r="T86" s="1"/>
      <c r="U86" s="17"/>
      <c r="V86" s="12"/>
    </row>
    <row r="87" spans="1:22" ht="117" customHeight="1" x14ac:dyDescent="0.25">
      <c r="A87" s="12" t="s">
        <v>3342</v>
      </c>
      <c r="B87" s="12" t="s">
        <v>169</v>
      </c>
      <c r="C87" s="12" t="s">
        <v>1301</v>
      </c>
      <c r="D87" s="12" t="s">
        <v>224</v>
      </c>
      <c r="E87" s="12" t="s">
        <v>3164</v>
      </c>
      <c r="F87" s="12" t="s">
        <v>56</v>
      </c>
      <c r="G87" s="12" t="s">
        <v>3343</v>
      </c>
      <c r="H87" s="12" t="s">
        <v>3161</v>
      </c>
      <c r="I87" s="45">
        <v>44649</v>
      </c>
      <c r="J87" s="45">
        <v>44638</v>
      </c>
      <c r="K87" s="12" t="s">
        <v>91</v>
      </c>
      <c r="L87" s="12" t="s">
        <v>3324</v>
      </c>
      <c r="M87" s="12" t="s">
        <v>215</v>
      </c>
      <c r="N87" s="45">
        <v>45658</v>
      </c>
      <c r="O87" s="12"/>
      <c r="P87" s="12" t="s">
        <v>3344</v>
      </c>
      <c r="Q87" s="12" t="s">
        <v>60</v>
      </c>
      <c r="R87" s="12"/>
      <c r="S87" s="12"/>
      <c r="T87" s="1"/>
      <c r="U87" s="17"/>
      <c r="V87" s="12"/>
    </row>
    <row r="88" spans="1:22" ht="129.94999999999999" customHeight="1" x14ac:dyDescent="0.25">
      <c r="A88" s="12" t="s">
        <v>3345</v>
      </c>
      <c r="B88" s="12" t="s">
        <v>182</v>
      </c>
      <c r="C88" s="12" t="s">
        <v>183</v>
      </c>
      <c r="D88" s="12" t="s">
        <v>67</v>
      </c>
      <c r="E88" s="12" t="s">
        <v>3159</v>
      </c>
      <c r="F88" s="12" t="s">
        <v>56</v>
      </c>
      <c r="G88" s="12" t="s">
        <v>3346</v>
      </c>
      <c r="H88" s="12" t="s">
        <v>3161</v>
      </c>
      <c r="I88" s="45">
        <v>41640</v>
      </c>
      <c r="J88" s="45"/>
      <c r="K88" s="12" t="s">
        <v>59</v>
      </c>
      <c r="L88" s="12"/>
      <c r="M88" s="12" t="s">
        <v>60</v>
      </c>
      <c r="N88" s="45"/>
      <c r="O88" s="12"/>
      <c r="P88" s="12"/>
      <c r="Q88" s="12" t="s">
        <v>60</v>
      </c>
      <c r="R88" s="12"/>
      <c r="S88" s="12"/>
      <c r="T88" s="1"/>
      <c r="U88" s="17"/>
      <c r="V88" s="12"/>
    </row>
    <row r="89" spans="1:22" ht="65.099999999999994" customHeight="1" x14ac:dyDescent="0.25">
      <c r="A89" s="12" t="s">
        <v>3347</v>
      </c>
      <c r="B89" s="12" t="s">
        <v>182</v>
      </c>
      <c r="C89" s="12" t="s">
        <v>183</v>
      </c>
      <c r="D89" s="12" t="s">
        <v>83</v>
      </c>
      <c r="E89" s="12" t="s">
        <v>3132</v>
      </c>
      <c r="F89" s="12" t="s">
        <v>56</v>
      </c>
      <c r="G89" s="12" t="s">
        <v>3348</v>
      </c>
      <c r="H89" s="12"/>
      <c r="I89" s="45">
        <v>43009</v>
      </c>
      <c r="J89" s="45">
        <v>42990</v>
      </c>
      <c r="K89" s="12" t="s">
        <v>59</v>
      </c>
      <c r="L89" s="12"/>
      <c r="M89" s="12" t="s">
        <v>60</v>
      </c>
      <c r="N89" s="45"/>
      <c r="O89" s="12"/>
      <c r="P89" s="12"/>
      <c r="Q89" s="12" t="s">
        <v>60</v>
      </c>
      <c r="R89" s="12"/>
      <c r="S89" s="12"/>
      <c r="T89" s="1"/>
      <c r="U89" s="17"/>
      <c r="V89" s="12"/>
    </row>
    <row r="90" spans="1:22" ht="65.099999999999994" customHeight="1" x14ac:dyDescent="0.25">
      <c r="A90" s="12" t="s">
        <v>3349</v>
      </c>
      <c r="B90" s="12" t="s">
        <v>186</v>
      </c>
      <c r="C90" s="12" t="s">
        <v>187</v>
      </c>
      <c r="D90" s="12" t="s">
        <v>67</v>
      </c>
      <c r="E90" s="12" t="s">
        <v>3132</v>
      </c>
      <c r="F90" s="12" t="s">
        <v>56</v>
      </c>
      <c r="G90" s="12" t="s">
        <v>3350</v>
      </c>
      <c r="H90" s="12" t="s">
        <v>1768</v>
      </c>
      <c r="I90" s="45">
        <v>42064</v>
      </c>
      <c r="J90" s="45"/>
      <c r="K90" s="12" t="s">
        <v>91</v>
      </c>
      <c r="L90" s="12"/>
      <c r="M90" s="12" t="s">
        <v>215</v>
      </c>
      <c r="N90" s="45">
        <v>42736</v>
      </c>
      <c r="O90" s="12" t="s">
        <v>3351</v>
      </c>
      <c r="P90" s="12"/>
      <c r="Q90" s="12" t="s">
        <v>60</v>
      </c>
      <c r="R90" s="12"/>
      <c r="S90" s="12"/>
      <c r="T90" s="1"/>
      <c r="U90" s="17"/>
      <c r="V90" s="12"/>
    </row>
    <row r="91" spans="1:22" ht="104.1" customHeight="1" x14ac:dyDescent="0.25">
      <c r="A91" s="12" t="s">
        <v>3352</v>
      </c>
      <c r="B91" s="12" t="s">
        <v>186</v>
      </c>
      <c r="C91" s="12" t="s">
        <v>187</v>
      </c>
      <c r="D91" s="12" t="s">
        <v>67</v>
      </c>
      <c r="E91" s="12" t="s">
        <v>3132</v>
      </c>
      <c r="F91" s="12" t="s">
        <v>212</v>
      </c>
      <c r="G91" s="12" t="s">
        <v>3353</v>
      </c>
      <c r="H91" s="12" t="s">
        <v>90</v>
      </c>
      <c r="I91" s="45">
        <v>42369</v>
      </c>
      <c r="J91" s="45"/>
      <c r="K91" s="12" t="s">
        <v>59</v>
      </c>
      <c r="L91" s="12"/>
      <c r="M91" s="12" t="s">
        <v>60</v>
      </c>
      <c r="N91" s="45"/>
      <c r="O91" s="12"/>
      <c r="P91" s="12"/>
      <c r="Q91" s="12" t="s">
        <v>60</v>
      </c>
      <c r="R91" s="12"/>
      <c r="S91" s="12"/>
      <c r="T91" s="1"/>
      <c r="U91" s="17"/>
      <c r="V91" s="12"/>
    </row>
    <row r="92" spans="1:22" ht="26.1" customHeight="1" x14ac:dyDescent="0.25">
      <c r="A92" s="12" t="s">
        <v>3354</v>
      </c>
      <c r="B92" s="12" t="s">
        <v>191</v>
      </c>
      <c r="C92" s="12" t="s">
        <v>192</v>
      </c>
      <c r="D92" s="12" t="s">
        <v>1561</v>
      </c>
      <c r="E92" s="12" t="s">
        <v>28</v>
      </c>
      <c r="F92" s="12" t="s">
        <v>212</v>
      </c>
      <c r="G92" s="12" t="s">
        <v>3355</v>
      </c>
      <c r="H92" s="12" t="s">
        <v>90</v>
      </c>
      <c r="I92" s="45">
        <v>40969</v>
      </c>
      <c r="J92" s="45"/>
      <c r="K92" s="12" t="s">
        <v>59</v>
      </c>
      <c r="L92" s="12"/>
      <c r="M92" s="12" t="s">
        <v>60</v>
      </c>
      <c r="N92" s="45"/>
      <c r="O92" s="12"/>
      <c r="P92" s="12"/>
      <c r="Q92" s="12" t="s">
        <v>60</v>
      </c>
      <c r="R92" s="12"/>
      <c r="S92" s="12"/>
      <c r="T92" s="1"/>
      <c r="U92" s="17"/>
      <c r="V92" s="12"/>
    </row>
    <row r="93" spans="1:22" ht="409.5" x14ac:dyDescent="0.25">
      <c r="A93" s="12" t="s">
        <v>3356</v>
      </c>
      <c r="B93" s="12" t="s">
        <v>191</v>
      </c>
      <c r="C93" s="12" t="s">
        <v>192</v>
      </c>
      <c r="D93" s="12" t="s">
        <v>126</v>
      </c>
      <c r="E93" s="12" t="s">
        <v>3164</v>
      </c>
      <c r="F93" s="12" t="s">
        <v>56</v>
      </c>
      <c r="G93" s="12" t="s">
        <v>3357</v>
      </c>
      <c r="H93" s="12" t="s">
        <v>3161</v>
      </c>
      <c r="I93" s="45">
        <v>42450</v>
      </c>
      <c r="J93" s="45"/>
      <c r="K93" s="12" t="s">
        <v>59</v>
      </c>
      <c r="L93" s="12"/>
      <c r="M93" s="12" t="s">
        <v>60</v>
      </c>
      <c r="N93" s="45"/>
      <c r="O93" s="12"/>
      <c r="P93" s="12"/>
      <c r="Q93" s="12" t="s">
        <v>60</v>
      </c>
      <c r="R93" s="12"/>
      <c r="S93" s="12"/>
      <c r="T93" s="1"/>
      <c r="U93" s="17"/>
      <c r="V93" s="12"/>
    </row>
    <row r="94" spans="1:22" ht="375" x14ac:dyDescent="0.25">
      <c r="A94" s="12" t="s">
        <v>3358</v>
      </c>
      <c r="B94" s="12" t="s">
        <v>191</v>
      </c>
      <c r="C94" s="12" t="s">
        <v>192</v>
      </c>
      <c r="D94" s="12" t="s">
        <v>67</v>
      </c>
      <c r="E94" s="12" t="s">
        <v>27</v>
      </c>
      <c r="F94" s="12" t="s">
        <v>56</v>
      </c>
      <c r="G94" s="12" t="s">
        <v>3359</v>
      </c>
      <c r="H94" s="12" t="s">
        <v>90</v>
      </c>
      <c r="I94" s="45">
        <v>41791</v>
      </c>
      <c r="J94" s="45"/>
      <c r="K94" s="12" t="s">
        <v>91</v>
      </c>
      <c r="L94" s="12"/>
      <c r="M94" s="12" t="s">
        <v>215</v>
      </c>
      <c r="N94" s="45">
        <v>43101</v>
      </c>
      <c r="O94" s="12"/>
      <c r="P94" s="12"/>
      <c r="Q94" s="12" t="s">
        <v>60</v>
      </c>
      <c r="R94" s="12"/>
      <c r="S94" s="12"/>
      <c r="T94" s="1"/>
      <c r="U94" s="17"/>
      <c r="V94" s="12"/>
    </row>
    <row r="95" spans="1:22" ht="409.5" x14ac:dyDescent="0.25">
      <c r="A95" s="12" t="s">
        <v>3360</v>
      </c>
      <c r="B95" s="12" t="s">
        <v>191</v>
      </c>
      <c r="C95" s="12" t="s">
        <v>192</v>
      </c>
      <c r="D95" s="12" t="s">
        <v>83</v>
      </c>
      <c r="E95" s="12" t="s">
        <v>27</v>
      </c>
      <c r="F95" s="12" t="s">
        <v>1770</v>
      </c>
      <c r="G95" s="12" t="s">
        <v>3361</v>
      </c>
      <c r="H95" s="12"/>
      <c r="I95" s="45">
        <v>43101</v>
      </c>
      <c r="J95" s="45">
        <v>43018</v>
      </c>
      <c r="K95" s="12" t="s">
        <v>59</v>
      </c>
      <c r="L95" s="12" t="s">
        <v>3358</v>
      </c>
      <c r="M95" s="12" t="s">
        <v>215</v>
      </c>
      <c r="N95" s="45">
        <v>44488</v>
      </c>
      <c r="O95" s="12"/>
      <c r="P95" s="12"/>
      <c r="Q95" s="12" t="s">
        <v>60</v>
      </c>
      <c r="R95" s="12"/>
      <c r="S95" s="12"/>
      <c r="T95" s="1"/>
      <c r="U95" s="17"/>
      <c r="V95" s="12"/>
    </row>
    <row r="96" spans="1:22" ht="409.5" x14ac:dyDescent="0.25">
      <c r="A96" s="12" t="s">
        <v>3125</v>
      </c>
      <c r="B96" s="12" t="s">
        <v>197</v>
      </c>
      <c r="C96" s="12" t="s">
        <v>198</v>
      </c>
      <c r="D96" s="12" t="s">
        <v>55</v>
      </c>
      <c r="E96" s="12" t="s">
        <v>3098</v>
      </c>
      <c r="F96" s="12" t="s">
        <v>56</v>
      </c>
      <c r="G96" s="12" t="s">
        <v>3362</v>
      </c>
      <c r="H96" s="12" t="s">
        <v>1867</v>
      </c>
      <c r="I96" s="45">
        <v>43465</v>
      </c>
      <c r="J96" s="45">
        <v>43334</v>
      </c>
      <c r="K96" s="12" t="s">
        <v>91</v>
      </c>
      <c r="L96" s="12"/>
      <c r="M96" s="12" t="s">
        <v>60</v>
      </c>
      <c r="N96" s="45"/>
      <c r="O96" s="12"/>
      <c r="P96" s="12" t="s">
        <v>3363</v>
      </c>
      <c r="Q96" s="12" t="s">
        <v>215</v>
      </c>
      <c r="R96" s="12" t="s">
        <v>3126</v>
      </c>
      <c r="S96" s="12">
        <v>30</v>
      </c>
      <c r="T96" s="1"/>
      <c r="U96" s="17"/>
      <c r="V96" s="12"/>
    </row>
    <row r="97" spans="1:22" ht="409.5" x14ac:dyDescent="0.25">
      <c r="A97" s="12" t="s">
        <v>3364</v>
      </c>
      <c r="B97" s="12" t="s">
        <v>197</v>
      </c>
      <c r="C97" s="12" t="s">
        <v>198</v>
      </c>
      <c r="D97" s="12" t="s">
        <v>126</v>
      </c>
      <c r="E97" s="12" t="s">
        <v>3118</v>
      </c>
      <c r="F97" s="12" t="s">
        <v>56</v>
      </c>
      <c r="G97" s="12" t="s">
        <v>3365</v>
      </c>
      <c r="H97" s="12"/>
      <c r="I97" s="45">
        <v>42514</v>
      </c>
      <c r="J97" s="45">
        <v>42514</v>
      </c>
      <c r="K97" s="12" t="s">
        <v>59</v>
      </c>
      <c r="L97" s="12"/>
      <c r="M97" s="12" t="s">
        <v>60</v>
      </c>
      <c r="N97" s="45"/>
      <c r="O97" s="12"/>
      <c r="P97" s="12" t="s">
        <v>3366</v>
      </c>
      <c r="Q97" s="12" t="s">
        <v>60</v>
      </c>
      <c r="R97" s="12"/>
      <c r="S97" s="12"/>
      <c r="T97" s="1"/>
      <c r="U97" s="17"/>
      <c r="V97" s="12"/>
    </row>
    <row r="98" spans="1:22" ht="195" x14ac:dyDescent="0.25">
      <c r="A98" s="12" t="s">
        <v>3367</v>
      </c>
      <c r="B98" s="12" t="s">
        <v>197</v>
      </c>
      <c r="C98" s="12" t="s">
        <v>198</v>
      </c>
      <c r="D98" s="12" t="s">
        <v>77</v>
      </c>
      <c r="E98" s="12" t="s">
        <v>3159</v>
      </c>
      <c r="F98" s="12" t="s">
        <v>56</v>
      </c>
      <c r="G98" s="12" t="s">
        <v>3368</v>
      </c>
      <c r="H98" s="12" t="s">
        <v>3161</v>
      </c>
      <c r="I98" s="45">
        <v>42034</v>
      </c>
      <c r="J98" s="45"/>
      <c r="K98" s="12" t="s">
        <v>91</v>
      </c>
      <c r="L98" s="12"/>
      <c r="M98" s="12" t="s">
        <v>60</v>
      </c>
      <c r="N98" s="45"/>
      <c r="O98" s="12"/>
      <c r="P98" s="12"/>
      <c r="Q98" s="12" t="s">
        <v>60</v>
      </c>
      <c r="R98" s="12"/>
      <c r="S98" s="12"/>
      <c r="T98" s="1"/>
      <c r="U98" s="17"/>
      <c r="V98" s="12"/>
    </row>
    <row r="99" spans="1:22" ht="345" x14ac:dyDescent="0.25">
      <c r="A99" s="12" t="s">
        <v>3120</v>
      </c>
      <c r="B99" s="12" t="s">
        <v>197</v>
      </c>
      <c r="C99" s="12" t="s">
        <v>198</v>
      </c>
      <c r="D99" s="12" t="s">
        <v>228</v>
      </c>
      <c r="E99" s="12" t="s">
        <v>3121</v>
      </c>
      <c r="F99" s="12" t="s">
        <v>212</v>
      </c>
      <c r="G99" s="12" t="s">
        <v>3369</v>
      </c>
      <c r="H99" s="12" t="s">
        <v>1867</v>
      </c>
      <c r="I99" s="45">
        <v>44561</v>
      </c>
      <c r="J99" s="45">
        <v>44520</v>
      </c>
      <c r="K99" s="12" t="s">
        <v>91</v>
      </c>
      <c r="L99" s="12"/>
      <c r="M99" s="12" t="s">
        <v>215</v>
      </c>
      <c r="N99" s="45"/>
      <c r="O99" s="12"/>
      <c r="P99" s="12"/>
      <c r="Q99" s="12" t="s">
        <v>215</v>
      </c>
      <c r="R99" s="12" t="s">
        <v>3122</v>
      </c>
      <c r="S99" s="12">
        <v>4</v>
      </c>
      <c r="T99" s="1"/>
      <c r="U99" s="17"/>
      <c r="V99" s="12"/>
    </row>
    <row r="100" spans="1:22" ht="120" x14ac:dyDescent="0.25">
      <c r="A100" s="12" t="s">
        <v>3127</v>
      </c>
      <c r="B100" s="12" t="s">
        <v>197</v>
      </c>
      <c r="C100" s="12" t="s">
        <v>198</v>
      </c>
      <c r="D100" s="12" t="s">
        <v>67</v>
      </c>
      <c r="E100" s="12" t="s">
        <v>28</v>
      </c>
      <c r="F100" s="12" t="s">
        <v>56</v>
      </c>
      <c r="G100" s="12" t="s">
        <v>3370</v>
      </c>
      <c r="H100" s="12" t="s">
        <v>3128</v>
      </c>
      <c r="I100" s="45">
        <v>41890</v>
      </c>
      <c r="J100" s="45"/>
      <c r="K100" s="12" t="s">
        <v>91</v>
      </c>
      <c r="L100" s="12"/>
      <c r="M100" s="12" t="s">
        <v>60</v>
      </c>
      <c r="N100" s="45"/>
      <c r="O100" s="12"/>
      <c r="P100" s="12" t="s">
        <v>1366</v>
      </c>
      <c r="Q100" s="12" t="s">
        <v>215</v>
      </c>
      <c r="R100" s="12"/>
      <c r="S100" s="12">
        <v>1</v>
      </c>
      <c r="T100" s="1"/>
      <c r="U100" s="17"/>
      <c r="V100" s="12"/>
    </row>
    <row r="101" spans="1:22" ht="105" x14ac:dyDescent="0.25">
      <c r="A101" s="12" t="s">
        <v>3371</v>
      </c>
      <c r="B101" s="12" t="s">
        <v>197</v>
      </c>
      <c r="C101" s="12" t="s">
        <v>198</v>
      </c>
      <c r="D101" s="12" t="s">
        <v>67</v>
      </c>
      <c r="E101" s="12" t="s">
        <v>28</v>
      </c>
      <c r="F101" s="12" t="s">
        <v>212</v>
      </c>
      <c r="G101" s="12" t="s">
        <v>3372</v>
      </c>
      <c r="H101" s="12" t="s">
        <v>3128</v>
      </c>
      <c r="I101" s="45">
        <v>42005</v>
      </c>
      <c r="J101" s="45"/>
      <c r="K101" s="12" t="s">
        <v>91</v>
      </c>
      <c r="L101" s="12"/>
      <c r="M101" s="12" t="s">
        <v>60</v>
      </c>
      <c r="N101" s="45"/>
      <c r="O101" s="12"/>
      <c r="P101" s="12" t="s">
        <v>1366</v>
      </c>
      <c r="Q101" s="12" t="s">
        <v>60</v>
      </c>
      <c r="R101" s="12"/>
      <c r="S101" s="12"/>
      <c r="T101" s="1"/>
      <c r="U101" s="17"/>
      <c r="V101" s="12"/>
    </row>
    <row r="102" spans="1:22" ht="270" x14ac:dyDescent="0.25">
      <c r="A102" s="12" t="s">
        <v>3373</v>
      </c>
      <c r="B102" s="12" t="s">
        <v>197</v>
      </c>
      <c r="C102" s="12" t="s">
        <v>198</v>
      </c>
      <c r="D102" s="12" t="s">
        <v>77</v>
      </c>
      <c r="E102" s="12" t="s">
        <v>3132</v>
      </c>
      <c r="F102" s="12" t="s">
        <v>212</v>
      </c>
      <c r="G102" s="12" t="s">
        <v>3374</v>
      </c>
      <c r="H102" s="12" t="s">
        <v>90</v>
      </c>
      <c r="I102" s="45">
        <v>42333</v>
      </c>
      <c r="J102" s="45"/>
      <c r="K102" s="12" t="s">
        <v>59</v>
      </c>
      <c r="L102" s="12"/>
      <c r="M102" s="12" t="s">
        <v>60</v>
      </c>
      <c r="N102" s="45"/>
      <c r="O102" s="12"/>
      <c r="P102" s="12"/>
      <c r="Q102" s="12" t="s">
        <v>60</v>
      </c>
      <c r="R102" s="12"/>
      <c r="S102" s="12"/>
      <c r="T102" s="1"/>
      <c r="U102" s="17"/>
      <c r="V102" s="12"/>
    </row>
    <row r="103" spans="1:22" ht="60" x14ac:dyDescent="0.25">
      <c r="A103" s="12" t="s">
        <v>3375</v>
      </c>
      <c r="B103" s="12" t="s">
        <v>197</v>
      </c>
      <c r="C103" s="12" t="s">
        <v>198</v>
      </c>
      <c r="D103" s="12" t="s">
        <v>88</v>
      </c>
      <c r="E103" s="12" t="s">
        <v>24</v>
      </c>
      <c r="F103" s="12" t="s">
        <v>1770</v>
      </c>
      <c r="G103" s="12" t="s">
        <v>3376</v>
      </c>
      <c r="H103" s="12" t="s">
        <v>90</v>
      </c>
      <c r="I103" s="45">
        <v>41275</v>
      </c>
      <c r="J103" s="45"/>
      <c r="K103" s="12" t="s">
        <v>59</v>
      </c>
      <c r="L103" s="12"/>
      <c r="M103" s="12" t="s">
        <v>60</v>
      </c>
      <c r="N103" s="45"/>
      <c r="O103" s="12"/>
      <c r="P103" s="12" t="s">
        <v>3377</v>
      </c>
      <c r="Q103" s="12" t="s">
        <v>60</v>
      </c>
      <c r="R103" s="12"/>
      <c r="S103" s="12"/>
      <c r="T103" s="1"/>
      <c r="U103" s="17"/>
      <c r="V103" s="12"/>
    </row>
    <row r="104" spans="1:22" ht="409.5" x14ac:dyDescent="0.25">
      <c r="A104" s="12" t="s">
        <v>3124</v>
      </c>
      <c r="B104" s="12" t="s">
        <v>197</v>
      </c>
      <c r="C104" s="12" t="s">
        <v>198</v>
      </c>
      <c r="D104" s="12" t="s">
        <v>220</v>
      </c>
      <c r="E104" s="12" t="s">
        <v>3098</v>
      </c>
      <c r="F104" s="12" t="s">
        <v>56</v>
      </c>
      <c r="G104" s="12" t="s">
        <v>3378</v>
      </c>
      <c r="H104" s="12" t="s">
        <v>1867</v>
      </c>
      <c r="I104" s="45">
        <v>45199</v>
      </c>
      <c r="J104" s="45">
        <v>45181</v>
      </c>
      <c r="K104" s="12" t="s">
        <v>59</v>
      </c>
      <c r="L104" s="12"/>
      <c r="M104" s="12" t="s">
        <v>60</v>
      </c>
      <c r="N104" s="45"/>
      <c r="O104" s="12"/>
      <c r="P104" s="12"/>
      <c r="Q104" s="12" t="s">
        <v>215</v>
      </c>
      <c r="R104" s="12" t="s">
        <v>3122</v>
      </c>
      <c r="S104" s="12">
        <v>21</v>
      </c>
      <c r="T104" s="1"/>
      <c r="U104" s="17"/>
      <c r="V104" s="12"/>
    </row>
    <row r="105" spans="1:22" ht="409.5" x14ac:dyDescent="0.25">
      <c r="A105" s="12" t="s">
        <v>3123</v>
      </c>
      <c r="B105" s="12" t="s">
        <v>197</v>
      </c>
      <c r="C105" s="12" t="s">
        <v>198</v>
      </c>
      <c r="D105" s="12" t="s">
        <v>220</v>
      </c>
      <c r="E105" s="12" t="s">
        <v>3121</v>
      </c>
      <c r="F105" s="12" t="s">
        <v>212</v>
      </c>
      <c r="G105" s="12" t="s">
        <v>3379</v>
      </c>
      <c r="H105" s="12" t="s">
        <v>1867</v>
      </c>
      <c r="I105" s="45">
        <v>45291</v>
      </c>
      <c r="J105" s="45">
        <v>45274</v>
      </c>
      <c r="K105" s="12" t="s">
        <v>59</v>
      </c>
      <c r="L105" s="12"/>
      <c r="M105" s="12" t="s">
        <v>60</v>
      </c>
      <c r="N105" s="45"/>
      <c r="O105" s="12"/>
      <c r="P105" s="12"/>
      <c r="Q105" s="12" t="s">
        <v>215</v>
      </c>
      <c r="R105" s="12" t="s">
        <v>3122</v>
      </c>
      <c r="S105" s="12">
        <v>4</v>
      </c>
      <c r="T105" s="1"/>
      <c r="U105" s="17"/>
      <c r="V105" s="12"/>
    </row>
    <row r="106" spans="1:22" ht="409.5" x14ac:dyDescent="0.25">
      <c r="A106" s="12" t="s">
        <v>3380</v>
      </c>
      <c r="B106" s="12" t="s">
        <v>200</v>
      </c>
      <c r="C106" s="12" t="s">
        <v>1846</v>
      </c>
      <c r="D106" s="12" t="s">
        <v>67</v>
      </c>
      <c r="E106" s="12" t="s">
        <v>23</v>
      </c>
      <c r="F106" s="12" t="s">
        <v>56</v>
      </c>
      <c r="G106" s="12" t="s">
        <v>3381</v>
      </c>
      <c r="H106" s="12" t="s">
        <v>90</v>
      </c>
      <c r="I106" s="45">
        <v>42370</v>
      </c>
      <c r="J106" s="45"/>
      <c r="K106" s="12" t="s">
        <v>59</v>
      </c>
      <c r="L106" s="12"/>
      <c r="M106" s="12" t="s">
        <v>215</v>
      </c>
      <c r="N106" s="45">
        <v>42576</v>
      </c>
      <c r="O106" s="12" t="s">
        <v>3382</v>
      </c>
      <c r="P106" s="12" t="s">
        <v>3383</v>
      </c>
      <c r="Q106" s="12" t="s">
        <v>60</v>
      </c>
      <c r="R106" s="12"/>
      <c r="S106" s="12"/>
      <c r="T106" s="1"/>
      <c r="U106" s="17"/>
      <c r="V106" s="12"/>
    </row>
    <row r="107" spans="1:22" ht="409.5" x14ac:dyDescent="0.25">
      <c r="A107" s="12" t="s">
        <v>3384</v>
      </c>
      <c r="B107" s="12" t="s">
        <v>200</v>
      </c>
      <c r="C107" s="12" t="s">
        <v>203</v>
      </c>
      <c r="D107" s="12" t="s">
        <v>67</v>
      </c>
      <c r="E107" s="12" t="s">
        <v>3159</v>
      </c>
      <c r="F107" s="12" t="s">
        <v>56</v>
      </c>
      <c r="G107" s="12" t="s">
        <v>3385</v>
      </c>
      <c r="H107" s="12" t="s">
        <v>3161</v>
      </c>
      <c r="I107" s="45">
        <v>41640</v>
      </c>
      <c r="J107" s="45"/>
      <c r="K107" s="12" t="s">
        <v>59</v>
      </c>
      <c r="L107" s="12"/>
      <c r="M107" s="12" t="s">
        <v>60</v>
      </c>
      <c r="N107" s="45"/>
      <c r="O107" s="12"/>
      <c r="P107" s="12" t="s">
        <v>3386</v>
      </c>
      <c r="Q107" s="12" t="s">
        <v>60</v>
      </c>
      <c r="R107" s="12"/>
      <c r="S107" s="12"/>
      <c r="T107" s="1"/>
      <c r="U107" s="17"/>
      <c r="V107" s="12"/>
    </row>
    <row r="108" spans="1:22" ht="409.5" x14ac:dyDescent="0.25">
      <c r="A108" s="12" t="s">
        <v>3387</v>
      </c>
      <c r="B108" s="12" t="s">
        <v>200</v>
      </c>
      <c r="C108" s="12" t="s">
        <v>1846</v>
      </c>
      <c r="D108" s="12" t="s">
        <v>83</v>
      </c>
      <c r="E108" s="12" t="s">
        <v>23</v>
      </c>
      <c r="F108" s="12" t="s">
        <v>56</v>
      </c>
      <c r="G108" s="12" t="s">
        <v>3388</v>
      </c>
      <c r="H108" s="12" t="s">
        <v>90</v>
      </c>
      <c r="I108" s="45">
        <v>43011</v>
      </c>
      <c r="J108" s="45">
        <v>42998</v>
      </c>
      <c r="K108" s="12" t="s">
        <v>59</v>
      </c>
      <c r="L108" s="12"/>
      <c r="M108" s="12" t="s">
        <v>60</v>
      </c>
      <c r="N108" s="45"/>
      <c r="O108" s="12"/>
      <c r="P108" s="12" t="s">
        <v>3389</v>
      </c>
      <c r="Q108" s="12" t="s">
        <v>60</v>
      </c>
      <c r="R108" s="12"/>
      <c r="S108" s="12"/>
      <c r="T108" s="1"/>
      <c r="U108" s="17"/>
      <c r="V108" s="12"/>
    </row>
    <row r="109" spans="1:22" ht="409.5" x14ac:dyDescent="0.25">
      <c r="A109" s="12" t="s">
        <v>3390</v>
      </c>
      <c r="B109" s="12" t="s">
        <v>200</v>
      </c>
      <c r="C109" s="12" t="s">
        <v>203</v>
      </c>
      <c r="D109" s="12" t="s">
        <v>55</v>
      </c>
      <c r="E109" s="12" t="s">
        <v>3159</v>
      </c>
      <c r="F109" s="12" t="s">
        <v>56</v>
      </c>
      <c r="G109" s="12" t="s">
        <v>3391</v>
      </c>
      <c r="H109" s="12" t="s">
        <v>3161</v>
      </c>
      <c r="I109" s="45">
        <v>42121</v>
      </c>
      <c r="J109" s="45"/>
      <c r="K109" s="12" t="s">
        <v>59</v>
      </c>
      <c r="L109" s="12"/>
      <c r="M109" s="12" t="s">
        <v>60</v>
      </c>
      <c r="N109" s="45"/>
      <c r="O109" s="12"/>
      <c r="P109" s="12" t="s">
        <v>3392</v>
      </c>
      <c r="Q109" s="12" t="s">
        <v>60</v>
      </c>
      <c r="R109" s="12"/>
      <c r="S109" s="12"/>
      <c r="T109" s="1"/>
      <c r="U109" s="17"/>
      <c r="V109" s="12"/>
    </row>
  </sheetData>
  <mergeCells count="3">
    <mergeCell ref="J4:K4"/>
    <mergeCell ref="R4:T4"/>
    <mergeCell ref="N4:P4"/>
  </mergeCells>
  <hyperlinks>
    <hyperlink ref="A1" location="'Table of Contents'!A1" display="&lt; Table of Contents" xr:uid="{00000000-0004-0000-0900-000000000000}"/>
  </hyperlinks>
  <pageMargins left="0.7" right="0.7" top="0.75" bottom="0.75" header="0.3" footer="0.3"/>
  <pageSetup paperSize="9" scale="52" fitToHeight="0" orientation="landscape"/>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44"/>
  <sheetViews>
    <sheetView workbookViewId="0"/>
  </sheetViews>
  <sheetFormatPr defaultColWidth="9.140625" defaultRowHeight="15" x14ac:dyDescent="0.25"/>
  <cols>
    <col min="1" max="1" width="19.85546875" style="28" bestFit="1" customWidth="1"/>
    <col min="2" max="2" width="9.140625" style="2" customWidth="1"/>
    <col min="3" max="16384" width="9.140625" style="2"/>
  </cols>
  <sheetData>
    <row r="1" spans="1:4" s="8" customFormat="1" ht="12.95" customHeight="1" x14ac:dyDescent="0.25">
      <c r="A1" s="7" t="s">
        <v>33</v>
      </c>
    </row>
    <row r="2" spans="1:4" s="8" customFormat="1" ht="12.95" customHeight="1" x14ac:dyDescent="0.25">
      <c r="A2" s="7"/>
    </row>
    <row r="3" spans="1:4" s="8" customFormat="1" ht="21" customHeight="1" x14ac:dyDescent="0.35">
      <c r="A3" s="40" t="s">
        <v>32</v>
      </c>
    </row>
    <row r="4" spans="1:4" s="8" customFormat="1" ht="12.95" customHeight="1" x14ac:dyDescent="0.25">
      <c r="A4" s="7"/>
    </row>
    <row r="5" spans="1:4" s="15" customFormat="1" ht="12.95" customHeight="1" x14ac:dyDescent="0.2">
      <c r="A5" s="27" t="s">
        <v>3393</v>
      </c>
      <c r="B5" s="15" t="s">
        <v>3394</v>
      </c>
      <c r="C5" s="14"/>
    </row>
    <row r="6" spans="1:4" s="15" customFormat="1" ht="12.95" customHeight="1" x14ac:dyDescent="0.2">
      <c r="A6" s="29"/>
      <c r="B6" s="19" t="s">
        <v>3395</v>
      </c>
      <c r="D6" s="14"/>
    </row>
    <row r="7" spans="1:4" s="15" customFormat="1" ht="12.95" customHeight="1" x14ac:dyDescent="0.2">
      <c r="A7" s="29"/>
      <c r="B7" s="19" t="s">
        <v>3396</v>
      </c>
      <c r="D7" s="14"/>
    </row>
    <row r="8" spans="1:4" s="15" customFormat="1" ht="12.95" customHeight="1" x14ac:dyDescent="0.2">
      <c r="A8" s="29"/>
      <c r="B8" s="19" t="s">
        <v>3397</v>
      </c>
      <c r="D8" s="14"/>
    </row>
    <row r="9" spans="1:4" s="15" customFormat="1" ht="12.95" customHeight="1" x14ac:dyDescent="0.2">
      <c r="A9" s="29"/>
      <c r="B9" s="19" t="s">
        <v>3398</v>
      </c>
    </row>
    <row r="10" spans="1:4" x14ac:dyDescent="0.25">
      <c r="B10" s="19" t="s">
        <v>3399</v>
      </c>
    </row>
    <row r="11" spans="1:4" x14ac:dyDescent="0.25">
      <c r="A11" s="27" t="s">
        <v>3400</v>
      </c>
      <c r="B11" s="15" t="s">
        <v>3401</v>
      </c>
    </row>
    <row r="12" spans="1:4" x14ac:dyDescent="0.25">
      <c r="A12" s="27" t="s">
        <v>3402</v>
      </c>
      <c r="B12" s="15" t="s">
        <v>3403</v>
      </c>
    </row>
    <row r="13" spans="1:4" x14ac:dyDescent="0.25">
      <c r="A13" s="27" t="s">
        <v>3404</v>
      </c>
      <c r="B13" s="15" t="s">
        <v>3405</v>
      </c>
    </row>
    <row r="15" spans="1:4" x14ac:dyDescent="0.25">
      <c r="A15" s="27"/>
      <c r="B15" s="15"/>
    </row>
    <row r="16" spans="1:4" x14ac:dyDescent="0.25">
      <c r="A16" s="27"/>
      <c r="B16" s="15"/>
    </row>
    <row r="17" spans="1:2" x14ac:dyDescent="0.25">
      <c r="A17" s="27"/>
      <c r="B17" s="15"/>
    </row>
    <row r="18" spans="1:2" x14ac:dyDescent="0.25">
      <c r="A18" s="27"/>
      <c r="B18" s="15"/>
    </row>
    <row r="19" spans="1:2" x14ac:dyDescent="0.25">
      <c r="A19" s="27"/>
      <c r="B19" s="15"/>
    </row>
    <row r="20" spans="1:2" x14ac:dyDescent="0.25">
      <c r="A20" s="27"/>
      <c r="B20" s="15"/>
    </row>
    <row r="21" spans="1:2" x14ac:dyDescent="0.25">
      <c r="A21" s="27"/>
      <c r="B21" s="15"/>
    </row>
    <row r="22" spans="1:2" x14ac:dyDescent="0.25">
      <c r="A22" s="27"/>
      <c r="B22" s="15"/>
    </row>
    <row r="23" spans="1:2" x14ac:dyDescent="0.25">
      <c r="A23" s="27"/>
      <c r="B23" s="15"/>
    </row>
    <row r="24" spans="1:2" x14ac:dyDescent="0.25">
      <c r="A24" s="27"/>
      <c r="B24" s="15"/>
    </row>
    <row r="25" spans="1:2" x14ac:dyDescent="0.25">
      <c r="A25" s="27"/>
      <c r="B25" s="15"/>
    </row>
    <row r="26" spans="1:2" x14ac:dyDescent="0.25">
      <c r="A26" s="27"/>
      <c r="B26" s="15"/>
    </row>
    <row r="27" spans="1:2" x14ac:dyDescent="0.25">
      <c r="A27" s="27"/>
      <c r="B27" s="15"/>
    </row>
    <row r="28" spans="1:2" x14ac:dyDescent="0.25">
      <c r="A28" s="27"/>
      <c r="B28" s="15"/>
    </row>
    <row r="29" spans="1:2" x14ac:dyDescent="0.25">
      <c r="A29" s="27"/>
      <c r="B29" s="15"/>
    </row>
    <row r="30" spans="1:2" x14ac:dyDescent="0.25">
      <c r="A30" s="27"/>
      <c r="B30" s="15"/>
    </row>
    <row r="31" spans="1:2" x14ac:dyDescent="0.25">
      <c r="A31" s="27"/>
      <c r="B31" s="15"/>
    </row>
    <row r="32" spans="1:2" x14ac:dyDescent="0.25">
      <c r="A32" s="27"/>
      <c r="B32" s="15"/>
    </row>
    <row r="33" spans="1:2" x14ac:dyDescent="0.25">
      <c r="A33" s="27"/>
      <c r="B33" s="15"/>
    </row>
    <row r="34" spans="1:2" x14ac:dyDescent="0.25">
      <c r="A34" s="27"/>
      <c r="B34" s="15"/>
    </row>
    <row r="35" spans="1:2" x14ac:dyDescent="0.25">
      <c r="A35" s="27"/>
      <c r="B35" s="15"/>
    </row>
    <row r="36" spans="1:2" x14ac:dyDescent="0.25">
      <c r="A36" s="27"/>
      <c r="B36" s="15"/>
    </row>
    <row r="37" spans="1:2" x14ac:dyDescent="0.25">
      <c r="A37" s="27"/>
      <c r="B37" s="15"/>
    </row>
    <row r="38" spans="1:2" x14ac:dyDescent="0.25">
      <c r="A38" s="27"/>
      <c r="B38" s="15"/>
    </row>
    <row r="39" spans="1:2" x14ac:dyDescent="0.25">
      <c r="A39" s="27"/>
      <c r="B39" s="15"/>
    </row>
    <row r="40" spans="1:2" x14ac:dyDescent="0.25">
      <c r="A40" s="27"/>
      <c r="B40" s="15"/>
    </row>
    <row r="41" spans="1:2" x14ac:dyDescent="0.25">
      <c r="A41" s="27"/>
      <c r="B41" s="15"/>
    </row>
    <row r="42" spans="1:2" x14ac:dyDescent="0.25">
      <c r="A42" s="27"/>
      <c r="B42" s="15"/>
    </row>
    <row r="43" spans="1:2" x14ac:dyDescent="0.25">
      <c r="A43" s="27"/>
      <c r="B43" s="15"/>
    </row>
    <row r="44" spans="1:2" x14ac:dyDescent="0.25">
      <c r="A44" s="29"/>
      <c r="B44" s="15"/>
    </row>
  </sheetData>
  <hyperlinks>
    <hyperlink ref="A1" location="'Table of Contents'!A1" display="&lt; Table of Contents" xr:uid="{00000000-0004-0000-0A00-000000000000}"/>
  </hyperlinks>
  <pageMargins left="0.7" right="0.7" top="0.75" bottom="0.75" header="0.3" footer="0.3"/>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4"/>
  <sheetViews>
    <sheetView workbookViewId="0">
      <selection activeCell="D22" activeCellId="12" sqref="D7 D9 D10 D11 D12 D13 D14 D15 D16 D18 D19 D20 D22"/>
    </sheetView>
  </sheetViews>
  <sheetFormatPr defaultColWidth="9.140625" defaultRowHeight="15" x14ac:dyDescent="0.25"/>
  <cols>
    <col min="1" max="1" width="26" style="2" bestFit="1" customWidth="1"/>
    <col min="2" max="2" width="13.5703125" style="2" bestFit="1" customWidth="1"/>
    <col min="3" max="3" width="9.140625" style="2" customWidth="1"/>
    <col min="4" max="4" width="46" style="2" customWidth="1"/>
    <col min="5" max="5" width="9.140625" style="2" customWidth="1"/>
    <col min="6" max="6" width="34.42578125" style="2" bestFit="1" customWidth="1"/>
    <col min="7" max="7" width="9.140625" style="2" customWidth="1"/>
    <col min="8" max="16384" width="9.140625" style="2"/>
  </cols>
  <sheetData>
    <row r="1" spans="1:6" s="8" customFormat="1" ht="12.95" customHeight="1" x14ac:dyDescent="0.25">
      <c r="A1" s="7" t="s">
        <v>33</v>
      </c>
    </row>
    <row r="2" spans="1:6" s="8" customFormat="1" ht="12.95" customHeight="1" x14ac:dyDescent="0.25">
      <c r="A2" s="7"/>
    </row>
    <row r="3" spans="1:6" s="8" customFormat="1" ht="21" customHeight="1" x14ac:dyDescent="0.35">
      <c r="A3" s="9" t="s">
        <v>3406</v>
      </c>
    </row>
    <row r="4" spans="1:6" s="8" customFormat="1" ht="12.95" customHeight="1" x14ac:dyDescent="0.25">
      <c r="A4" s="7"/>
      <c r="B4" s="21" t="s">
        <v>38</v>
      </c>
      <c r="C4" s="21"/>
      <c r="D4" s="21" t="s">
        <v>3407</v>
      </c>
      <c r="E4" s="21"/>
      <c r="F4" s="21" t="s">
        <v>41</v>
      </c>
    </row>
    <row r="5" spans="1:6" x14ac:dyDescent="0.25">
      <c r="A5" s="18" t="s">
        <v>3408</v>
      </c>
      <c r="B5" s="15" t="s">
        <v>53</v>
      </c>
      <c r="D5" s="15" t="s">
        <v>3409</v>
      </c>
      <c r="E5" s="15"/>
      <c r="F5" s="22" t="s">
        <v>56</v>
      </c>
    </row>
    <row r="6" spans="1:6" x14ac:dyDescent="0.25">
      <c r="A6" s="18" t="s">
        <v>3410</v>
      </c>
      <c r="B6" s="15" t="s">
        <v>62</v>
      </c>
      <c r="D6" s="15" t="s">
        <v>3411</v>
      </c>
      <c r="E6" s="15"/>
      <c r="F6" s="22" t="s">
        <v>1770</v>
      </c>
    </row>
    <row r="7" spans="1:6" x14ac:dyDescent="0.25">
      <c r="A7" s="18" t="s">
        <v>3412</v>
      </c>
      <c r="B7" s="15" t="s">
        <v>65</v>
      </c>
      <c r="D7" s="15" t="s">
        <v>17</v>
      </c>
      <c r="E7" s="15"/>
      <c r="F7" s="22" t="s">
        <v>1167</v>
      </c>
    </row>
    <row r="8" spans="1:6" x14ac:dyDescent="0.25">
      <c r="A8" s="18" t="s">
        <v>3413</v>
      </c>
      <c r="B8" s="15" t="s">
        <v>71</v>
      </c>
      <c r="D8" s="15" t="s">
        <v>3414</v>
      </c>
      <c r="E8" s="15"/>
      <c r="F8" s="22" t="s">
        <v>212</v>
      </c>
    </row>
    <row r="9" spans="1:6" x14ac:dyDescent="0.25">
      <c r="A9" s="18" t="s">
        <v>3415</v>
      </c>
      <c r="B9" s="15" t="s">
        <v>81</v>
      </c>
      <c r="D9" s="15" t="s">
        <v>23</v>
      </c>
      <c r="E9" s="15"/>
      <c r="F9" s="22" t="s">
        <v>1204</v>
      </c>
    </row>
    <row r="10" spans="1:6" x14ac:dyDescent="0.25">
      <c r="A10" s="18" t="s">
        <v>3416</v>
      </c>
      <c r="B10" s="15" t="s">
        <v>94</v>
      </c>
      <c r="D10" s="15" t="s">
        <v>24</v>
      </c>
      <c r="E10" s="15"/>
    </row>
    <row r="11" spans="1:6" x14ac:dyDescent="0.25">
      <c r="A11" s="18" t="s">
        <v>3417</v>
      </c>
      <c r="B11" s="15" t="s">
        <v>97</v>
      </c>
      <c r="D11" s="15" t="s">
        <v>25</v>
      </c>
      <c r="E11" s="15"/>
    </row>
    <row r="12" spans="1:6" x14ac:dyDescent="0.25">
      <c r="A12" s="18" t="s">
        <v>3418</v>
      </c>
      <c r="B12" s="15" t="s">
        <v>103</v>
      </c>
      <c r="D12" s="15" t="s">
        <v>21</v>
      </c>
      <c r="E12" s="15"/>
    </row>
    <row r="13" spans="1:6" x14ac:dyDescent="0.25">
      <c r="A13" s="18" t="s">
        <v>3419</v>
      </c>
      <c r="B13" s="15" t="s">
        <v>106</v>
      </c>
      <c r="D13" s="15" t="s">
        <v>26</v>
      </c>
      <c r="E13" s="15"/>
    </row>
    <row r="14" spans="1:6" x14ac:dyDescent="0.25">
      <c r="A14" s="18" t="s">
        <v>3420</v>
      </c>
      <c r="B14" s="15" t="s">
        <v>109</v>
      </c>
      <c r="D14" s="15" t="s">
        <v>27</v>
      </c>
      <c r="E14" s="15"/>
    </row>
    <row r="15" spans="1:6" x14ac:dyDescent="0.25">
      <c r="A15" s="18" t="s">
        <v>3421</v>
      </c>
      <c r="B15" s="15" t="s">
        <v>112</v>
      </c>
      <c r="D15" s="15" t="s">
        <v>18</v>
      </c>
      <c r="E15" s="15"/>
    </row>
    <row r="16" spans="1:6" x14ac:dyDescent="0.25">
      <c r="A16" s="18" t="s">
        <v>3422</v>
      </c>
      <c r="B16" s="15" t="s">
        <v>115</v>
      </c>
      <c r="D16" s="15" t="s">
        <v>19</v>
      </c>
      <c r="E16" s="15"/>
    </row>
    <row r="17" spans="1:5" x14ac:dyDescent="0.25">
      <c r="A17" s="18" t="s">
        <v>3423</v>
      </c>
      <c r="B17" s="15" t="s">
        <v>121</v>
      </c>
      <c r="D17" s="15" t="s">
        <v>3424</v>
      </c>
      <c r="E17" s="15"/>
    </row>
    <row r="18" spans="1:5" x14ac:dyDescent="0.25">
      <c r="A18" s="18" t="s">
        <v>3425</v>
      </c>
      <c r="B18" s="15" t="s">
        <v>129</v>
      </c>
      <c r="D18" s="15" t="s">
        <v>28</v>
      </c>
      <c r="E18" s="15"/>
    </row>
    <row r="19" spans="1:5" x14ac:dyDescent="0.25">
      <c r="A19" s="18" t="s">
        <v>3426</v>
      </c>
      <c r="B19" s="15" t="s">
        <v>132</v>
      </c>
      <c r="D19" s="15" t="s">
        <v>29</v>
      </c>
      <c r="E19" s="15"/>
    </row>
    <row r="20" spans="1:5" x14ac:dyDescent="0.25">
      <c r="A20" s="18" t="s">
        <v>3427</v>
      </c>
      <c r="B20" s="15" t="s">
        <v>140</v>
      </c>
      <c r="D20" s="15" t="s">
        <v>30</v>
      </c>
      <c r="E20" s="15"/>
    </row>
    <row r="21" spans="1:5" x14ac:dyDescent="0.25">
      <c r="A21" s="18" t="s">
        <v>3428</v>
      </c>
      <c r="B21" s="15" t="s">
        <v>147</v>
      </c>
      <c r="D21" s="15" t="s">
        <v>3429</v>
      </c>
      <c r="E21" s="15"/>
    </row>
    <row r="22" spans="1:5" x14ac:dyDescent="0.25">
      <c r="A22" s="18" t="s">
        <v>3430</v>
      </c>
      <c r="B22" s="15" t="s">
        <v>150</v>
      </c>
      <c r="D22" s="15" t="s">
        <v>31</v>
      </c>
      <c r="E22" s="15"/>
    </row>
    <row r="23" spans="1:5" x14ac:dyDescent="0.25">
      <c r="A23" s="18" t="s">
        <v>3431</v>
      </c>
      <c r="B23" s="15" t="s">
        <v>157</v>
      </c>
    </row>
    <row r="24" spans="1:5" x14ac:dyDescent="0.25">
      <c r="A24" s="18" t="s">
        <v>3432</v>
      </c>
      <c r="B24" s="15" t="s">
        <v>163</v>
      </c>
    </row>
    <row r="25" spans="1:5" x14ac:dyDescent="0.25">
      <c r="A25" s="18" t="s">
        <v>3433</v>
      </c>
      <c r="B25" s="15" t="s">
        <v>166</v>
      </c>
    </row>
    <row r="26" spans="1:5" x14ac:dyDescent="0.25">
      <c r="A26" s="18" t="s">
        <v>3434</v>
      </c>
      <c r="B26" s="15" t="s">
        <v>169</v>
      </c>
    </row>
    <row r="27" spans="1:5" x14ac:dyDescent="0.25">
      <c r="A27" s="18" t="s">
        <v>3435</v>
      </c>
      <c r="B27" s="15" t="s">
        <v>176</v>
      </c>
    </row>
    <row r="28" spans="1:5" x14ac:dyDescent="0.25">
      <c r="A28" s="18" t="s">
        <v>3436</v>
      </c>
      <c r="B28" s="15" t="s">
        <v>182</v>
      </c>
    </row>
    <row r="29" spans="1:5" x14ac:dyDescent="0.25">
      <c r="A29" s="18" t="s">
        <v>3437</v>
      </c>
      <c r="B29" s="15" t="s">
        <v>186</v>
      </c>
    </row>
    <row r="30" spans="1:5" x14ac:dyDescent="0.25">
      <c r="A30" s="18" t="s">
        <v>3438</v>
      </c>
      <c r="B30" s="15" t="s">
        <v>191</v>
      </c>
    </row>
    <row r="31" spans="1:5" x14ac:dyDescent="0.25">
      <c r="A31" s="18" t="s">
        <v>3439</v>
      </c>
      <c r="B31" s="15" t="s">
        <v>194</v>
      </c>
    </row>
    <row r="32" spans="1:5" x14ac:dyDescent="0.25">
      <c r="A32" s="18" t="s">
        <v>3440</v>
      </c>
      <c r="B32" s="15" t="s">
        <v>197</v>
      </c>
    </row>
    <row r="33" spans="1:2" x14ac:dyDescent="0.25">
      <c r="A33" s="18" t="s">
        <v>3441</v>
      </c>
      <c r="B33" s="15" t="s">
        <v>200</v>
      </c>
    </row>
    <row r="34" spans="1:2" x14ac:dyDescent="0.25">
      <c r="A34" s="15"/>
      <c r="B34" s="15"/>
    </row>
  </sheetData>
  <hyperlinks>
    <hyperlink ref="A1" location="'Table of Contents'!A1" display="&lt; Table of Contents" xr:uid="{00000000-0004-0000-0B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47"/>
  <sheetViews>
    <sheetView zoomScaleNormal="100" workbookViewId="0">
      <selection activeCell="D10" sqref="D10"/>
    </sheetView>
  </sheetViews>
  <sheetFormatPr defaultColWidth="9.140625" defaultRowHeight="15" x14ac:dyDescent="0.25"/>
  <cols>
    <col min="1" max="1" width="12.5703125" style="17" customWidth="1"/>
    <col min="2" max="2" width="15.5703125" style="17" customWidth="1"/>
    <col min="3" max="3" width="25.5703125" style="17" customWidth="1"/>
    <col min="4" max="5" width="12.5703125" style="17" customWidth="1"/>
    <col min="6" max="6" width="40.5703125" style="17" customWidth="1"/>
    <col min="7" max="7" width="15.5703125" style="17" customWidth="1"/>
    <col min="8" max="10" width="17.5703125" style="23" customWidth="1"/>
    <col min="11" max="11" width="12.5703125" style="17" customWidth="1"/>
    <col min="12" max="14" width="20.5703125" style="23" customWidth="1"/>
    <col min="15" max="15" width="70.5703125" style="10" customWidth="1"/>
    <col min="16" max="16" width="8.85546875" style="1" customWidth="1"/>
    <col min="17" max="17" width="9.140625" style="17" customWidth="1"/>
    <col min="18" max="16384" width="9.140625" style="17"/>
  </cols>
  <sheetData>
    <row r="1" spans="1:16" s="8" customFormat="1" ht="12.95" customHeight="1" x14ac:dyDescent="0.25">
      <c r="A1" s="36" t="s">
        <v>33</v>
      </c>
      <c r="B1" s="12"/>
      <c r="C1" s="12"/>
      <c r="D1" s="12"/>
      <c r="E1" s="12"/>
      <c r="F1" s="12"/>
      <c r="G1" s="12"/>
      <c r="H1" s="37"/>
      <c r="I1" s="37"/>
      <c r="J1" s="37"/>
      <c r="K1" s="12"/>
      <c r="L1" s="38"/>
      <c r="M1" s="38"/>
      <c r="N1" s="38"/>
      <c r="O1" s="12"/>
      <c r="P1" s="12"/>
    </row>
    <row r="2" spans="1:16" s="8" customFormat="1" ht="12.95" customHeight="1" x14ac:dyDescent="0.25">
      <c r="A2" s="39"/>
      <c r="B2" s="12"/>
      <c r="C2" s="12"/>
      <c r="D2" s="12"/>
      <c r="E2" s="12"/>
      <c r="F2" s="12"/>
      <c r="G2" s="12"/>
      <c r="H2" s="37"/>
      <c r="I2" s="37"/>
      <c r="J2" s="37"/>
      <c r="K2" s="12"/>
      <c r="L2" s="38"/>
      <c r="M2" s="38"/>
      <c r="N2" s="38"/>
      <c r="O2" s="12"/>
      <c r="P2" s="12"/>
    </row>
    <row r="3" spans="1:16" s="8" customFormat="1" ht="21" customHeight="1" x14ac:dyDescent="0.35">
      <c r="A3" s="40" t="s">
        <v>34</v>
      </c>
      <c r="B3" s="12"/>
      <c r="C3" s="12"/>
      <c r="D3" s="12"/>
      <c r="E3" s="12"/>
      <c r="F3" s="12"/>
      <c r="G3" s="12"/>
      <c r="H3" s="37"/>
      <c r="I3" s="37"/>
      <c r="J3" s="37"/>
      <c r="K3" s="12"/>
      <c r="L3" s="38"/>
      <c r="M3" s="38"/>
      <c r="N3" s="38"/>
      <c r="O3" s="12"/>
      <c r="P3" s="12"/>
    </row>
    <row r="4" spans="1:16" s="8" customFormat="1" ht="12.95" customHeight="1" x14ac:dyDescent="0.25">
      <c r="A4" s="39"/>
      <c r="B4" s="12"/>
      <c r="C4" s="12"/>
      <c r="D4" s="12"/>
      <c r="E4" s="12"/>
      <c r="F4" s="12"/>
      <c r="G4" s="12"/>
      <c r="H4" s="57" t="s">
        <v>35</v>
      </c>
      <c r="I4" s="55"/>
      <c r="J4" s="56"/>
      <c r="K4" s="12"/>
      <c r="L4" s="54" t="s">
        <v>36</v>
      </c>
      <c r="M4" s="55"/>
      <c r="N4" s="56"/>
      <c r="O4" s="12"/>
      <c r="P4" s="12"/>
    </row>
    <row r="5" spans="1:16" ht="26.1" customHeight="1" x14ac:dyDescent="0.2">
      <c r="A5" s="41" t="s">
        <v>37</v>
      </c>
      <c r="B5" s="41" t="s">
        <v>38</v>
      </c>
      <c r="C5" s="41" t="s">
        <v>39</v>
      </c>
      <c r="D5" s="41" t="s">
        <v>40</v>
      </c>
      <c r="E5" s="41" t="s">
        <v>41</v>
      </c>
      <c r="F5" s="41" t="s">
        <v>42</v>
      </c>
      <c r="G5" s="41" t="s">
        <v>43</v>
      </c>
      <c r="H5" s="42" t="s">
        <v>44</v>
      </c>
      <c r="I5" s="42" t="s">
        <v>45</v>
      </c>
      <c r="J5" s="42" t="s">
        <v>46</v>
      </c>
      <c r="K5" s="41" t="s">
        <v>47</v>
      </c>
      <c r="L5" s="43" t="s">
        <v>48</v>
      </c>
      <c r="M5" s="43" t="s">
        <v>49</v>
      </c>
      <c r="N5" s="43" t="s">
        <v>50</v>
      </c>
      <c r="O5" s="41" t="s">
        <v>51</v>
      </c>
      <c r="P5" s="44"/>
    </row>
    <row r="6" spans="1:16" ht="65.099999999999994" customHeight="1" x14ac:dyDescent="0.25">
      <c r="A6" s="12" t="s">
        <v>52</v>
      </c>
      <c r="B6" s="12" t="s">
        <v>53</v>
      </c>
      <c r="C6" s="12" t="s">
        <v>54</v>
      </c>
      <c r="D6" s="12" t="s">
        <v>55</v>
      </c>
      <c r="E6" s="12" t="s">
        <v>56</v>
      </c>
      <c r="F6" s="12" t="s">
        <v>57</v>
      </c>
      <c r="G6" s="12" t="s">
        <v>58</v>
      </c>
      <c r="H6" s="45">
        <v>42005</v>
      </c>
      <c r="I6" s="45"/>
      <c r="J6" s="45">
        <v>43271</v>
      </c>
      <c r="K6" s="12" t="s">
        <v>59</v>
      </c>
      <c r="L6" s="12" t="s">
        <v>60</v>
      </c>
      <c r="M6" s="12"/>
      <c r="N6" s="12"/>
      <c r="O6" s="12"/>
      <c r="P6" s="12"/>
    </row>
    <row r="7" spans="1:16" ht="65.099999999999994" customHeight="1" x14ac:dyDescent="0.25">
      <c r="A7" s="12" t="s">
        <v>61</v>
      </c>
      <c r="B7" s="12" t="s">
        <v>62</v>
      </c>
      <c r="C7" s="12" t="s">
        <v>63</v>
      </c>
      <c r="D7" s="12" t="s">
        <v>55</v>
      </c>
      <c r="E7" s="12" t="s">
        <v>56</v>
      </c>
      <c r="F7" s="12" t="s">
        <v>57</v>
      </c>
      <c r="G7" s="12" t="s">
        <v>58</v>
      </c>
      <c r="H7" s="45">
        <v>42005</v>
      </c>
      <c r="I7" s="45"/>
      <c r="J7" s="45">
        <v>43271</v>
      </c>
      <c r="K7" s="12" t="s">
        <v>59</v>
      </c>
      <c r="L7" s="12" t="s">
        <v>60</v>
      </c>
      <c r="M7" s="12"/>
      <c r="N7" s="12"/>
      <c r="O7" s="12"/>
      <c r="P7" s="12"/>
    </row>
    <row r="8" spans="1:16" ht="26.1" customHeight="1" x14ac:dyDescent="0.25">
      <c r="A8" s="12" t="s">
        <v>64</v>
      </c>
      <c r="B8" s="12" t="s">
        <v>65</v>
      </c>
      <c r="C8" s="12" t="s">
        <v>66</v>
      </c>
      <c r="D8" s="12" t="s">
        <v>67</v>
      </c>
      <c r="E8" s="12" t="s">
        <v>56</v>
      </c>
      <c r="F8" s="12" t="s">
        <v>68</v>
      </c>
      <c r="G8" s="12" t="s">
        <v>58</v>
      </c>
      <c r="H8" s="45">
        <v>41772</v>
      </c>
      <c r="I8" s="45">
        <v>41788</v>
      </c>
      <c r="J8" s="45">
        <v>41954</v>
      </c>
      <c r="K8" s="12" t="s">
        <v>59</v>
      </c>
      <c r="L8" s="12" t="s">
        <v>60</v>
      </c>
      <c r="M8" s="12"/>
      <c r="N8" s="12"/>
      <c r="O8" s="12" t="s">
        <v>69</v>
      </c>
      <c r="P8" s="12"/>
    </row>
    <row r="9" spans="1:16" ht="26.1" customHeight="1" x14ac:dyDescent="0.25">
      <c r="A9" s="12" t="s">
        <v>70</v>
      </c>
      <c r="B9" s="12" t="s">
        <v>71</v>
      </c>
      <c r="C9" s="12" t="s">
        <v>72</v>
      </c>
      <c r="D9" s="12" t="s">
        <v>67</v>
      </c>
      <c r="E9" s="12" t="s">
        <v>56</v>
      </c>
      <c r="F9" s="12" t="s">
        <v>73</v>
      </c>
      <c r="G9" s="12" t="s">
        <v>58</v>
      </c>
      <c r="H9" s="45">
        <v>41640</v>
      </c>
      <c r="I9" s="45">
        <v>41628</v>
      </c>
      <c r="J9" s="45">
        <v>41835</v>
      </c>
      <c r="K9" s="12" t="s">
        <v>59</v>
      </c>
      <c r="L9" s="12" t="s">
        <v>60</v>
      </c>
      <c r="M9" s="12"/>
      <c r="N9" s="12"/>
      <c r="O9" s="12" t="s">
        <v>74</v>
      </c>
      <c r="P9" s="12"/>
    </row>
    <row r="10" spans="1:16" ht="26.1" customHeight="1" x14ac:dyDescent="0.25">
      <c r="A10" s="12" t="s">
        <v>75</v>
      </c>
      <c r="B10" s="12" t="s">
        <v>71</v>
      </c>
      <c r="C10" s="12" t="s">
        <v>76</v>
      </c>
      <c r="D10" s="12" t="s">
        <v>77</v>
      </c>
      <c r="E10" s="12" t="s">
        <v>56</v>
      </c>
      <c r="F10" s="12" t="s">
        <v>78</v>
      </c>
      <c r="G10" s="12" t="s">
        <v>79</v>
      </c>
      <c r="H10" s="45">
        <v>41640</v>
      </c>
      <c r="I10" s="45"/>
      <c r="J10" s="45">
        <v>42202</v>
      </c>
      <c r="K10" s="12" t="s">
        <v>59</v>
      </c>
      <c r="L10" s="12" t="s">
        <v>60</v>
      </c>
      <c r="M10" s="12"/>
      <c r="N10" s="12"/>
      <c r="O10" s="12"/>
      <c r="P10" s="12"/>
    </row>
    <row r="11" spans="1:16" ht="26.1" customHeight="1" x14ac:dyDescent="0.25">
      <c r="A11" s="12" t="s">
        <v>80</v>
      </c>
      <c r="B11" s="12" t="s">
        <v>81</v>
      </c>
      <c r="C11" s="12" t="s">
        <v>82</v>
      </c>
      <c r="D11" s="12" t="s">
        <v>83</v>
      </c>
      <c r="E11" s="12" t="s">
        <v>56</v>
      </c>
      <c r="F11" s="12" t="s">
        <v>84</v>
      </c>
      <c r="G11" s="12" t="s">
        <v>85</v>
      </c>
      <c r="H11" s="45">
        <v>42783</v>
      </c>
      <c r="I11" s="45">
        <v>42783</v>
      </c>
      <c r="J11" s="45">
        <v>43039</v>
      </c>
      <c r="K11" s="12" t="s">
        <v>59</v>
      </c>
      <c r="L11" s="12" t="s">
        <v>60</v>
      </c>
      <c r="M11" s="12"/>
      <c r="N11" s="12"/>
      <c r="O11" s="12" t="s">
        <v>86</v>
      </c>
      <c r="P11" s="12"/>
    </row>
    <row r="12" spans="1:16" ht="182.1" customHeight="1" x14ac:dyDescent="0.25">
      <c r="A12" s="12" t="s">
        <v>87</v>
      </c>
      <c r="B12" s="12" t="s">
        <v>81</v>
      </c>
      <c r="C12" s="12" t="s">
        <v>82</v>
      </c>
      <c r="D12" s="12" t="s">
        <v>88</v>
      </c>
      <c r="E12" s="12" t="s">
        <v>56</v>
      </c>
      <c r="F12" s="12" t="s">
        <v>89</v>
      </c>
      <c r="G12" s="12" t="s">
        <v>90</v>
      </c>
      <c r="H12" s="45">
        <v>42005</v>
      </c>
      <c r="I12" s="45"/>
      <c r="J12" s="45">
        <v>41275</v>
      </c>
      <c r="K12" s="12" t="s">
        <v>91</v>
      </c>
      <c r="L12" s="12" t="s">
        <v>60</v>
      </c>
      <c r="M12" s="12"/>
      <c r="N12" s="12"/>
      <c r="O12" s="12" t="s">
        <v>92</v>
      </c>
      <c r="P12" s="12"/>
    </row>
    <row r="13" spans="1:16" ht="26.1" customHeight="1" x14ac:dyDescent="0.25">
      <c r="A13" s="12" t="s">
        <v>93</v>
      </c>
      <c r="B13" s="12" t="s">
        <v>94</v>
      </c>
      <c r="C13" s="12" t="s">
        <v>95</v>
      </c>
      <c r="D13" s="12" t="s">
        <v>67</v>
      </c>
      <c r="E13" s="12" t="s">
        <v>56</v>
      </c>
      <c r="F13" s="12" t="s">
        <v>89</v>
      </c>
      <c r="G13" s="12" t="s">
        <v>58</v>
      </c>
      <c r="H13" s="45">
        <v>41842</v>
      </c>
      <c r="I13" s="45"/>
      <c r="J13" s="45">
        <v>41851</v>
      </c>
      <c r="K13" s="12" t="s">
        <v>59</v>
      </c>
      <c r="L13" s="12" t="s">
        <v>60</v>
      </c>
      <c r="M13" s="12"/>
      <c r="N13" s="12"/>
      <c r="O13" s="12"/>
      <c r="P13" s="12"/>
    </row>
    <row r="14" spans="1:16" ht="65.099999999999994" customHeight="1" x14ac:dyDescent="0.25">
      <c r="A14" s="12" t="s">
        <v>96</v>
      </c>
      <c r="B14" s="12" t="s">
        <v>97</v>
      </c>
      <c r="C14" s="12" t="s">
        <v>98</v>
      </c>
      <c r="D14" s="12" t="s">
        <v>67</v>
      </c>
      <c r="E14" s="12" t="s">
        <v>56</v>
      </c>
      <c r="F14" s="12" t="s">
        <v>99</v>
      </c>
      <c r="G14" s="12" t="s">
        <v>79</v>
      </c>
      <c r="H14" s="45">
        <v>41729</v>
      </c>
      <c r="I14" s="45"/>
      <c r="J14" s="45">
        <v>41936</v>
      </c>
      <c r="K14" s="12" t="s">
        <v>59</v>
      </c>
      <c r="L14" s="12" t="s">
        <v>60</v>
      </c>
      <c r="M14" s="12"/>
      <c r="N14" s="12"/>
      <c r="O14" s="12"/>
      <c r="P14" s="12"/>
    </row>
    <row r="15" spans="1:16" ht="39" customHeight="1" x14ac:dyDescent="0.25">
      <c r="A15" s="12" t="s">
        <v>100</v>
      </c>
      <c r="B15" s="12" t="s">
        <v>97</v>
      </c>
      <c r="C15" s="12" t="s">
        <v>98</v>
      </c>
      <c r="D15" s="12" t="s">
        <v>67</v>
      </c>
      <c r="E15" s="12" t="s">
        <v>56</v>
      </c>
      <c r="F15" s="12" t="s">
        <v>101</v>
      </c>
      <c r="G15" s="12" t="s">
        <v>58</v>
      </c>
      <c r="H15" s="45">
        <v>42005</v>
      </c>
      <c r="I15" s="45"/>
      <c r="J15" s="45">
        <v>41936</v>
      </c>
      <c r="K15" s="12" t="s">
        <v>59</v>
      </c>
      <c r="L15" s="12" t="s">
        <v>60</v>
      </c>
      <c r="M15" s="12"/>
      <c r="N15" s="12"/>
      <c r="O15" s="12"/>
      <c r="P15" s="12"/>
    </row>
    <row r="16" spans="1:16" ht="26.1" customHeight="1" x14ac:dyDescent="0.25">
      <c r="A16" s="12" t="s">
        <v>102</v>
      </c>
      <c r="B16" s="12" t="s">
        <v>103</v>
      </c>
      <c r="C16" s="12" t="s">
        <v>104</v>
      </c>
      <c r="D16" s="12" t="s">
        <v>67</v>
      </c>
      <c r="E16" s="12" t="s">
        <v>56</v>
      </c>
      <c r="F16" s="12" t="s">
        <v>89</v>
      </c>
      <c r="G16" s="12" t="s">
        <v>58</v>
      </c>
      <c r="H16" s="45">
        <v>41778</v>
      </c>
      <c r="I16" s="45"/>
      <c r="J16" s="45">
        <v>41778</v>
      </c>
      <c r="K16" s="12" t="s">
        <v>59</v>
      </c>
      <c r="L16" s="12" t="s">
        <v>60</v>
      </c>
      <c r="M16" s="12"/>
      <c r="N16" s="12"/>
      <c r="O16" s="12"/>
      <c r="P16" s="12"/>
    </row>
    <row r="17" spans="1:16" ht="26.1" customHeight="1" x14ac:dyDescent="0.25">
      <c r="A17" s="12" t="s">
        <v>105</v>
      </c>
      <c r="B17" s="12" t="s">
        <v>106</v>
      </c>
      <c r="C17" s="12" t="s">
        <v>107</v>
      </c>
      <c r="D17" s="12" t="s">
        <v>67</v>
      </c>
      <c r="E17" s="12" t="s">
        <v>56</v>
      </c>
      <c r="F17" s="12" t="s">
        <v>89</v>
      </c>
      <c r="G17" s="12" t="s">
        <v>58</v>
      </c>
      <c r="H17" s="45">
        <v>42005</v>
      </c>
      <c r="I17" s="45"/>
      <c r="J17" s="45">
        <v>41640</v>
      </c>
      <c r="K17" s="12" t="s">
        <v>59</v>
      </c>
      <c r="L17" s="12" t="s">
        <v>60</v>
      </c>
      <c r="M17" s="12"/>
      <c r="N17" s="12"/>
      <c r="O17" s="12"/>
      <c r="P17" s="12"/>
    </row>
    <row r="18" spans="1:16" ht="65.099999999999994" customHeight="1" x14ac:dyDescent="0.25">
      <c r="A18" s="12" t="s">
        <v>108</v>
      </c>
      <c r="B18" s="12" t="s">
        <v>109</v>
      </c>
      <c r="C18" s="12" t="s">
        <v>110</v>
      </c>
      <c r="D18" s="12" t="s">
        <v>55</v>
      </c>
      <c r="E18" s="12" t="s">
        <v>56</v>
      </c>
      <c r="F18" s="12" t="s">
        <v>57</v>
      </c>
      <c r="G18" s="12" t="s">
        <v>58</v>
      </c>
      <c r="H18" s="45">
        <v>42005</v>
      </c>
      <c r="I18" s="45"/>
      <c r="J18" s="45">
        <v>43271</v>
      </c>
      <c r="K18" s="12" t="s">
        <v>59</v>
      </c>
      <c r="L18" s="12" t="s">
        <v>60</v>
      </c>
      <c r="M18" s="12"/>
      <c r="N18" s="12"/>
      <c r="O18" s="12"/>
      <c r="P18" s="12"/>
    </row>
    <row r="19" spans="1:16" ht="65.099999999999994" customHeight="1" x14ac:dyDescent="0.25">
      <c r="A19" s="12" t="s">
        <v>111</v>
      </c>
      <c r="B19" s="12" t="s">
        <v>112</v>
      </c>
      <c r="C19" s="12" t="s">
        <v>113</v>
      </c>
      <c r="D19" s="12" t="s">
        <v>55</v>
      </c>
      <c r="E19" s="12" t="s">
        <v>56</v>
      </c>
      <c r="F19" s="12" t="s">
        <v>57</v>
      </c>
      <c r="G19" s="12" t="s">
        <v>58</v>
      </c>
      <c r="H19" s="45">
        <v>42005</v>
      </c>
      <c r="I19" s="45"/>
      <c r="J19" s="45">
        <v>43271</v>
      </c>
      <c r="K19" s="12" t="s">
        <v>59</v>
      </c>
      <c r="L19" s="12" t="s">
        <v>60</v>
      </c>
      <c r="M19" s="12"/>
      <c r="N19" s="12"/>
      <c r="O19" s="12"/>
      <c r="P19" s="12"/>
    </row>
    <row r="20" spans="1:16" ht="65.099999999999994" customHeight="1" x14ac:dyDescent="0.25">
      <c r="A20" s="12" t="s">
        <v>114</v>
      </c>
      <c r="B20" s="12" t="s">
        <v>115</v>
      </c>
      <c r="C20" s="12" t="s">
        <v>116</v>
      </c>
      <c r="D20" s="12" t="s">
        <v>67</v>
      </c>
      <c r="E20" s="12" t="s">
        <v>56</v>
      </c>
      <c r="F20" s="12" t="s">
        <v>117</v>
      </c>
      <c r="G20" s="12" t="s">
        <v>118</v>
      </c>
      <c r="H20" s="45">
        <v>42005</v>
      </c>
      <c r="I20" s="45">
        <v>41764</v>
      </c>
      <c r="J20" s="45">
        <v>43271</v>
      </c>
      <c r="K20" s="12" t="s">
        <v>59</v>
      </c>
      <c r="L20" s="12" t="s">
        <v>60</v>
      </c>
      <c r="M20" s="12"/>
      <c r="N20" s="12"/>
      <c r="O20" s="12" t="s">
        <v>119</v>
      </c>
      <c r="P20" s="12"/>
    </row>
    <row r="21" spans="1:16" ht="65.099999999999994" customHeight="1" x14ac:dyDescent="0.25">
      <c r="A21" s="12" t="s">
        <v>120</v>
      </c>
      <c r="B21" s="12" t="s">
        <v>121</v>
      </c>
      <c r="C21" s="12" t="s">
        <v>122</v>
      </c>
      <c r="D21" s="12" t="s">
        <v>77</v>
      </c>
      <c r="E21" s="12" t="s">
        <v>56</v>
      </c>
      <c r="F21" s="12" t="s">
        <v>57</v>
      </c>
      <c r="G21" s="12" t="s">
        <v>58</v>
      </c>
      <c r="H21" s="45">
        <v>42005</v>
      </c>
      <c r="I21" s="45"/>
      <c r="J21" s="45">
        <v>43271</v>
      </c>
      <c r="K21" s="12" t="s">
        <v>59</v>
      </c>
      <c r="L21" s="12" t="s">
        <v>60</v>
      </c>
      <c r="M21" s="12"/>
      <c r="N21" s="12"/>
      <c r="O21" s="12"/>
      <c r="P21" s="12"/>
    </row>
    <row r="22" spans="1:16" ht="26.1" customHeight="1" x14ac:dyDescent="0.25">
      <c r="A22" s="12" t="s">
        <v>123</v>
      </c>
      <c r="B22" s="12" t="s">
        <v>124</v>
      </c>
      <c r="C22" s="12" t="s">
        <v>125</v>
      </c>
      <c r="D22" s="12" t="s">
        <v>126</v>
      </c>
      <c r="E22" s="12" t="s">
        <v>56</v>
      </c>
      <c r="F22" s="12" t="s">
        <v>89</v>
      </c>
      <c r="G22" s="12" t="s">
        <v>58</v>
      </c>
      <c r="H22" s="45">
        <v>42736</v>
      </c>
      <c r="I22" s="45"/>
      <c r="J22" s="45">
        <v>42541</v>
      </c>
      <c r="K22" s="12" t="s">
        <v>59</v>
      </c>
      <c r="L22" s="12" t="s">
        <v>60</v>
      </c>
      <c r="M22" s="12"/>
      <c r="N22" s="12"/>
      <c r="O22" s="12" t="s">
        <v>127</v>
      </c>
      <c r="P22" s="12"/>
    </row>
    <row r="23" spans="1:16" ht="65.099999999999994" customHeight="1" x14ac:dyDescent="0.25">
      <c r="A23" s="12" t="s">
        <v>128</v>
      </c>
      <c r="B23" s="12" t="s">
        <v>129</v>
      </c>
      <c r="C23" s="12" t="s">
        <v>130</v>
      </c>
      <c r="D23" s="12" t="s">
        <v>77</v>
      </c>
      <c r="E23" s="12" t="s">
        <v>56</v>
      </c>
      <c r="F23" s="12" t="s">
        <v>57</v>
      </c>
      <c r="G23" s="12" t="s">
        <v>58</v>
      </c>
      <c r="H23" s="45">
        <v>42005</v>
      </c>
      <c r="I23" s="45"/>
      <c r="J23" s="45">
        <v>43271</v>
      </c>
      <c r="K23" s="12" t="s">
        <v>59</v>
      </c>
      <c r="L23" s="12" t="s">
        <v>60</v>
      </c>
      <c r="M23" s="12"/>
      <c r="N23" s="12"/>
      <c r="O23" s="12"/>
      <c r="P23" s="12"/>
    </row>
    <row r="24" spans="1:16" ht="26.1" customHeight="1" x14ac:dyDescent="0.25">
      <c r="A24" s="12" t="s">
        <v>131</v>
      </c>
      <c r="B24" s="12" t="s">
        <v>132</v>
      </c>
      <c r="C24" s="12" t="s">
        <v>133</v>
      </c>
      <c r="D24" s="12" t="s">
        <v>67</v>
      </c>
      <c r="E24" s="12" t="s">
        <v>56</v>
      </c>
      <c r="F24" s="12" t="s">
        <v>134</v>
      </c>
      <c r="G24" s="12" t="s">
        <v>79</v>
      </c>
      <c r="H24" s="45">
        <v>41640</v>
      </c>
      <c r="I24" s="45"/>
      <c r="J24" s="45">
        <v>42137</v>
      </c>
      <c r="K24" s="12" t="s">
        <v>59</v>
      </c>
      <c r="L24" s="12" t="s">
        <v>60</v>
      </c>
      <c r="M24" s="12"/>
      <c r="N24" s="12"/>
      <c r="O24" s="12"/>
      <c r="P24" s="12"/>
    </row>
    <row r="25" spans="1:16" ht="26.1" customHeight="1" x14ac:dyDescent="0.25">
      <c r="A25" s="12" t="s">
        <v>135</v>
      </c>
      <c r="B25" s="12" t="s">
        <v>132</v>
      </c>
      <c r="C25" s="12" t="s">
        <v>133</v>
      </c>
      <c r="D25" s="12" t="s">
        <v>67</v>
      </c>
      <c r="E25" s="12" t="s">
        <v>56</v>
      </c>
      <c r="F25" s="12" t="s">
        <v>89</v>
      </c>
      <c r="G25" s="12" t="s">
        <v>58</v>
      </c>
      <c r="H25" s="45">
        <v>41640</v>
      </c>
      <c r="I25" s="45"/>
      <c r="J25" s="45">
        <v>42137</v>
      </c>
      <c r="K25" s="12" t="s">
        <v>91</v>
      </c>
      <c r="L25" s="12" t="s">
        <v>60</v>
      </c>
      <c r="M25" s="12"/>
      <c r="N25" s="12"/>
      <c r="O25" s="12"/>
      <c r="P25" s="12"/>
    </row>
    <row r="26" spans="1:16" ht="129.94999999999999" customHeight="1" x14ac:dyDescent="0.25">
      <c r="A26" s="12" t="s">
        <v>136</v>
      </c>
      <c r="B26" s="12" t="s">
        <v>132</v>
      </c>
      <c r="C26" s="12" t="s">
        <v>133</v>
      </c>
      <c r="D26" s="12" t="s">
        <v>126</v>
      </c>
      <c r="E26" s="12" t="s">
        <v>56</v>
      </c>
      <c r="F26" s="12" t="s">
        <v>137</v>
      </c>
      <c r="G26" s="12" t="s">
        <v>58</v>
      </c>
      <c r="H26" s="45">
        <v>42736</v>
      </c>
      <c r="I26" s="45">
        <v>42647</v>
      </c>
      <c r="J26" s="45">
        <v>43039</v>
      </c>
      <c r="K26" s="12" t="s">
        <v>59</v>
      </c>
      <c r="L26" s="12" t="s">
        <v>60</v>
      </c>
      <c r="M26" s="12"/>
      <c r="N26" s="12"/>
      <c r="O26" s="12" t="s">
        <v>138</v>
      </c>
      <c r="P26" s="12"/>
    </row>
    <row r="27" spans="1:16" ht="39" customHeight="1" x14ac:dyDescent="0.25">
      <c r="A27" s="12" t="s">
        <v>139</v>
      </c>
      <c r="B27" s="12" t="s">
        <v>140</v>
      </c>
      <c r="C27" s="12" t="s">
        <v>141</v>
      </c>
      <c r="D27" s="12" t="s">
        <v>67</v>
      </c>
      <c r="E27" s="12" t="s">
        <v>56</v>
      </c>
      <c r="F27" s="12" t="s">
        <v>68</v>
      </c>
      <c r="G27" s="12" t="s">
        <v>58</v>
      </c>
      <c r="H27" s="45">
        <v>41787</v>
      </c>
      <c r="I27" s="45"/>
      <c r="J27" s="45">
        <v>41815</v>
      </c>
      <c r="K27" s="12" t="s">
        <v>59</v>
      </c>
      <c r="L27" s="12" t="s">
        <v>60</v>
      </c>
      <c r="M27" s="12"/>
      <c r="N27" s="12"/>
      <c r="O27" s="12"/>
      <c r="P27" s="12"/>
    </row>
    <row r="28" spans="1:16" ht="26.1" customHeight="1" x14ac:dyDescent="0.25">
      <c r="A28" s="12" t="s">
        <v>142</v>
      </c>
      <c r="B28" s="12" t="s">
        <v>143</v>
      </c>
      <c r="C28" s="12" t="s">
        <v>144</v>
      </c>
      <c r="D28" s="12" t="s">
        <v>77</v>
      </c>
      <c r="E28" s="12" t="s">
        <v>56</v>
      </c>
      <c r="F28" s="12" t="s">
        <v>89</v>
      </c>
      <c r="G28" s="12" t="s">
        <v>145</v>
      </c>
      <c r="H28" s="45">
        <v>42036</v>
      </c>
      <c r="I28" s="45"/>
      <c r="J28" s="45">
        <v>43160</v>
      </c>
      <c r="K28" s="12" t="s">
        <v>59</v>
      </c>
      <c r="L28" s="12" t="s">
        <v>60</v>
      </c>
      <c r="M28" s="12"/>
      <c r="N28" s="12"/>
      <c r="O28" s="12"/>
      <c r="P28" s="12"/>
    </row>
    <row r="29" spans="1:16" ht="26.1" customHeight="1" x14ac:dyDescent="0.25">
      <c r="A29" s="12" t="s">
        <v>146</v>
      </c>
      <c r="B29" s="12" t="s">
        <v>147</v>
      </c>
      <c r="C29" s="12" t="s">
        <v>148</v>
      </c>
      <c r="D29" s="12" t="s">
        <v>77</v>
      </c>
      <c r="E29" s="12" t="s">
        <v>56</v>
      </c>
      <c r="F29" s="12" t="s">
        <v>89</v>
      </c>
      <c r="G29" s="12" t="s">
        <v>58</v>
      </c>
      <c r="H29" s="45">
        <v>42185</v>
      </c>
      <c r="I29" s="45">
        <v>42103</v>
      </c>
      <c r="J29" s="45">
        <v>42117</v>
      </c>
      <c r="K29" s="12" t="s">
        <v>59</v>
      </c>
      <c r="L29" s="12" t="s">
        <v>60</v>
      </c>
      <c r="M29" s="12"/>
      <c r="N29" s="12"/>
      <c r="O29" s="12"/>
      <c r="P29" s="12"/>
    </row>
    <row r="30" spans="1:16" ht="26.1" customHeight="1" x14ac:dyDescent="0.25">
      <c r="A30" s="12" t="s">
        <v>149</v>
      </c>
      <c r="B30" s="12" t="s">
        <v>150</v>
      </c>
      <c r="C30" s="12" t="s">
        <v>151</v>
      </c>
      <c r="D30" s="12" t="s">
        <v>67</v>
      </c>
      <c r="E30" s="12" t="s">
        <v>56</v>
      </c>
      <c r="F30" s="12" t="s">
        <v>89</v>
      </c>
      <c r="G30" s="12" t="s">
        <v>90</v>
      </c>
      <c r="H30" s="45">
        <v>41640</v>
      </c>
      <c r="I30" s="45">
        <v>41681</v>
      </c>
      <c r="J30" s="45">
        <v>41640</v>
      </c>
      <c r="K30" s="12" t="s">
        <v>59</v>
      </c>
      <c r="L30" s="12" t="s">
        <v>60</v>
      </c>
      <c r="M30" s="12"/>
      <c r="N30" s="12"/>
      <c r="O30" s="12" t="s">
        <v>152</v>
      </c>
      <c r="P30" s="12"/>
    </row>
    <row r="31" spans="1:16" ht="26.1" customHeight="1" x14ac:dyDescent="0.25">
      <c r="A31" s="12" t="s">
        <v>153</v>
      </c>
      <c r="B31" s="12" t="s">
        <v>150</v>
      </c>
      <c r="C31" s="12" t="s">
        <v>151</v>
      </c>
      <c r="D31" s="12" t="s">
        <v>77</v>
      </c>
      <c r="E31" s="12" t="s">
        <v>56</v>
      </c>
      <c r="F31" s="12" t="s">
        <v>154</v>
      </c>
      <c r="G31" s="12" t="s">
        <v>79</v>
      </c>
      <c r="H31" s="45">
        <v>42370</v>
      </c>
      <c r="I31" s="45">
        <v>42338</v>
      </c>
      <c r="J31" s="45">
        <v>42340</v>
      </c>
      <c r="K31" s="12" t="s">
        <v>59</v>
      </c>
      <c r="L31" s="12" t="s">
        <v>60</v>
      </c>
      <c r="M31" s="12"/>
      <c r="N31" s="12"/>
      <c r="O31" s="12" t="s">
        <v>155</v>
      </c>
      <c r="P31" s="12"/>
    </row>
    <row r="32" spans="1:16" ht="39" customHeight="1" x14ac:dyDescent="0.25">
      <c r="A32" s="12" t="s">
        <v>156</v>
      </c>
      <c r="B32" s="12" t="s">
        <v>157</v>
      </c>
      <c r="C32" s="12" t="s">
        <v>158</v>
      </c>
      <c r="D32" s="12" t="s">
        <v>55</v>
      </c>
      <c r="E32" s="12" t="s">
        <v>56</v>
      </c>
      <c r="F32" s="12" t="s">
        <v>57</v>
      </c>
      <c r="G32" s="12" t="s">
        <v>58</v>
      </c>
      <c r="H32" s="45">
        <v>42005</v>
      </c>
      <c r="I32" s="45"/>
      <c r="J32" s="45">
        <v>43271</v>
      </c>
      <c r="K32" s="12" t="s">
        <v>59</v>
      </c>
      <c r="L32" s="12" t="s">
        <v>60</v>
      </c>
      <c r="M32" s="12"/>
      <c r="N32" s="12"/>
      <c r="O32" s="12" t="s">
        <v>159</v>
      </c>
      <c r="P32" s="12"/>
    </row>
    <row r="33" spans="1:16" ht="65.099999999999994" customHeight="1" x14ac:dyDescent="0.25">
      <c r="A33" s="12" t="s">
        <v>160</v>
      </c>
      <c r="B33" s="12" t="s">
        <v>157</v>
      </c>
      <c r="C33" s="12" t="s">
        <v>158</v>
      </c>
      <c r="D33" s="12" t="s">
        <v>77</v>
      </c>
      <c r="E33" s="12" t="s">
        <v>56</v>
      </c>
      <c r="F33" s="12" t="s">
        <v>161</v>
      </c>
      <c r="G33" s="12" t="s">
        <v>79</v>
      </c>
      <c r="H33" s="45">
        <v>42370</v>
      </c>
      <c r="I33" s="45"/>
      <c r="J33" s="45">
        <v>42366</v>
      </c>
      <c r="K33" s="12" t="s">
        <v>59</v>
      </c>
      <c r="L33" s="12" t="s">
        <v>60</v>
      </c>
      <c r="M33" s="12"/>
      <c r="N33" s="12"/>
      <c r="O33" s="12"/>
      <c r="P33" s="12"/>
    </row>
    <row r="34" spans="1:16" ht="65.099999999999994" customHeight="1" x14ac:dyDescent="0.25">
      <c r="A34" s="12" t="s">
        <v>162</v>
      </c>
      <c r="B34" s="12" t="s">
        <v>163</v>
      </c>
      <c r="C34" s="12" t="s">
        <v>164</v>
      </c>
      <c r="D34" s="12" t="s">
        <v>55</v>
      </c>
      <c r="E34" s="12" t="s">
        <v>56</v>
      </c>
      <c r="F34" s="12" t="s">
        <v>57</v>
      </c>
      <c r="G34" s="12" t="s">
        <v>58</v>
      </c>
      <c r="H34" s="45">
        <v>42005</v>
      </c>
      <c r="I34" s="45"/>
      <c r="J34" s="45">
        <v>43271</v>
      </c>
      <c r="K34" s="12" t="s">
        <v>59</v>
      </c>
      <c r="L34" s="12" t="s">
        <v>60</v>
      </c>
      <c r="M34" s="12"/>
      <c r="N34" s="12"/>
      <c r="O34" s="12"/>
      <c r="P34" s="12"/>
    </row>
    <row r="35" spans="1:16" ht="26.1" customHeight="1" x14ac:dyDescent="0.25">
      <c r="A35" s="12" t="s">
        <v>165</v>
      </c>
      <c r="B35" s="12" t="s">
        <v>166</v>
      </c>
      <c r="C35" s="12" t="s">
        <v>167</v>
      </c>
      <c r="D35" s="12" t="s">
        <v>88</v>
      </c>
      <c r="E35" s="12" t="s">
        <v>56</v>
      </c>
      <c r="F35" s="12" t="s">
        <v>68</v>
      </c>
      <c r="G35" s="12" t="s">
        <v>58</v>
      </c>
      <c r="H35" s="45">
        <v>41456</v>
      </c>
      <c r="I35" s="45"/>
      <c r="J35" s="45">
        <v>41456</v>
      </c>
      <c r="K35" s="12" t="s">
        <v>59</v>
      </c>
      <c r="L35" s="12" t="s">
        <v>60</v>
      </c>
      <c r="M35" s="12"/>
      <c r="N35" s="12"/>
      <c r="O35" s="12"/>
      <c r="P35" s="12"/>
    </row>
    <row r="36" spans="1:16" ht="39" customHeight="1" x14ac:dyDescent="0.25">
      <c r="A36" s="12" t="s">
        <v>168</v>
      </c>
      <c r="B36" s="12" t="s">
        <v>169</v>
      </c>
      <c r="C36" s="12" t="s">
        <v>170</v>
      </c>
      <c r="D36" s="12" t="s">
        <v>77</v>
      </c>
      <c r="E36" s="12" t="s">
        <v>56</v>
      </c>
      <c r="F36" s="12" t="s">
        <v>171</v>
      </c>
      <c r="G36" s="12" t="s">
        <v>79</v>
      </c>
      <c r="H36" s="45">
        <v>42370</v>
      </c>
      <c r="I36" s="45">
        <v>42361</v>
      </c>
      <c r="J36" s="45">
        <v>42368</v>
      </c>
      <c r="K36" s="12" t="s">
        <v>59</v>
      </c>
      <c r="L36" s="12" t="s">
        <v>60</v>
      </c>
      <c r="M36" s="12"/>
      <c r="N36" s="12"/>
      <c r="O36" s="12" t="s">
        <v>172</v>
      </c>
      <c r="P36" s="12"/>
    </row>
    <row r="37" spans="1:16" ht="39" customHeight="1" x14ac:dyDescent="0.25">
      <c r="A37" s="12" t="s">
        <v>173</v>
      </c>
      <c r="B37" s="12" t="s">
        <v>169</v>
      </c>
      <c r="C37" s="12" t="s">
        <v>170</v>
      </c>
      <c r="D37" s="12" t="s">
        <v>77</v>
      </c>
      <c r="E37" s="12" t="s">
        <v>56</v>
      </c>
      <c r="F37" s="12" t="s">
        <v>174</v>
      </c>
      <c r="G37" s="12" t="s">
        <v>58</v>
      </c>
      <c r="H37" s="45">
        <v>42370</v>
      </c>
      <c r="I37" s="45">
        <v>42361</v>
      </c>
      <c r="J37" s="45">
        <v>42368</v>
      </c>
      <c r="K37" s="12" t="s">
        <v>59</v>
      </c>
      <c r="L37" s="12" t="s">
        <v>60</v>
      </c>
      <c r="M37" s="12"/>
      <c r="N37" s="12"/>
      <c r="O37" s="12" t="s">
        <v>172</v>
      </c>
      <c r="P37" s="12"/>
    </row>
    <row r="38" spans="1:16" ht="26.1" customHeight="1" x14ac:dyDescent="0.25">
      <c r="A38" s="12" t="s">
        <v>175</v>
      </c>
      <c r="B38" s="12" t="s">
        <v>176</v>
      </c>
      <c r="C38" s="12" t="s">
        <v>177</v>
      </c>
      <c r="D38" s="12" t="s">
        <v>77</v>
      </c>
      <c r="E38" s="12" t="s">
        <v>56</v>
      </c>
      <c r="F38" s="12" t="s">
        <v>89</v>
      </c>
      <c r="G38" s="12" t="s">
        <v>58</v>
      </c>
      <c r="H38" s="45">
        <v>42370</v>
      </c>
      <c r="I38" s="45">
        <v>42191</v>
      </c>
      <c r="J38" s="45">
        <v>42261</v>
      </c>
      <c r="K38" s="12" t="s">
        <v>91</v>
      </c>
      <c r="L38" s="12" t="s">
        <v>60</v>
      </c>
      <c r="M38" s="12"/>
      <c r="N38" s="12"/>
      <c r="O38" s="12" t="s">
        <v>178</v>
      </c>
      <c r="P38" s="12"/>
    </row>
    <row r="39" spans="1:16" ht="51.95" customHeight="1" x14ac:dyDescent="0.25">
      <c r="A39" s="12" t="s">
        <v>179</v>
      </c>
      <c r="B39" s="12" t="s">
        <v>176</v>
      </c>
      <c r="C39" s="12" t="s">
        <v>177</v>
      </c>
      <c r="D39" s="12" t="s">
        <v>126</v>
      </c>
      <c r="E39" s="12" t="s">
        <v>56</v>
      </c>
      <c r="F39" s="12" t="s">
        <v>180</v>
      </c>
      <c r="G39" s="12" t="s">
        <v>85</v>
      </c>
      <c r="H39" s="45">
        <v>42370</v>
      </c>
      <c r="I39" s="45">
        <v>42527</v>
      </c>
      <c r="J39" s="45">
        <v>42529</v>
      </c>
      <c r="K39" s="12" t="s">
        <v>59</v>
      </c>
      <c r="L39" s="12" t="s">
        <v>60</v>
      </c>
      <c r="M39" s="12"/>
      <c r="N39" s="12"/>
      <c r="O39" s="12"/>
      <c r="P39" s="12"/>
    </row>
    <row r="40" spans="1:16" ht="51.95" customHeight="1" x14ac:dyDescent="0.25">
      <c r="A40" s="12" t="s">
        <v>181</v>
      </c>
      <c r="B40" s="12" t="s">
        <v>182</v>
      </c>
      <c r="C40" s="12" t="s">
        <v>183</v>
      </c>
      <c r="D40" s="12" t="s">
        <v>77</v>
      </c>
      <c r="E40" s="12" t="s">
        <v>56</v>
      </c>
      <c r="F40" s="12" t="s">
        <v>184</v>
      </c>
      <c r="G40" s="12" t="s">
        <v>58</v>
      </c>
      <c r="H40" s="45">
        <v>42370</v>
      </c>
      <c r="I40" s="45"/>
      <c r="J40" s="45">
        <v>42367</v>
      </c>
      <c r="K40" s="12" t="s">
        <v>59</v>
      </c>
      <c r="L40" s="12" t="s">
        <v>60</v>
      </c>
      <c r="M40" s="12"/>
      <c r="N40" s="12"/>
      <c r="O40" s="12"/>
      <c r="P40" s="12"/>
    </row>
    <row r="41" spans="1:16" ht="26.1" customHeight="1" x14ac:dyDescent="0.25">
      <c r="A41" s="12" t="s">
        <v>185</v>
      </c>
      <c r="B41" s="12" t="s">
        <v>186</v>
      </c>
      <c r="C41" s="12" t="s">
        <v>187</v>
      </c>
      <c r="D41" s="12" t="s">
        <v>77</v>
      </c>
      <c r="E41" s="12" t="s">
        <v>56</v>
      </c>
      <c r="F41" s="12" t="s">
        <v>78</v>
      </c>
      <c r="G41" s="12" t="s">
        <v>79</v>
      </c>
      <c r="H41" s="45">
        <v>41852</v>
      </c>
      <c r="I41" s="45"/>
      <c r="J41" s="45">
        <v>42116</v>
      </c>
      <c r="K41" s="12" t="s">
        <v>59</v>
      </c>
      <c r="L41" s="12" t="s">
        <v>60</v>
      </c>
      <c r="M41" s="12"/>
      <c r="N41" s="12"/>
      <c r="O41" s="12"/>
      <c r="P41" s="12"/>
    </row>
    <row r="42" spans="1:16" ht="26.1" customHeight="1" x14ac:dyDescent="0.25">
      <c r="A42" s="12" t="s">
        <v>188</v>
      </c>
      <c r="B42" s="12" t="s">
        <v>186</v>
      </c>
      <c r="C42" s="12" t="s">
        <v>187</v>
      </c>
      <c r="D42" s="12" t="s">
        <v>67</v>
      </c>
      <c r="E42" s="12" t="s">
        <v>56</v>
      </c>
      <c r="F42" s="12" t="s">
        <v>189</v>
      </c>
      <c r="G42" s="12" t="s">
        <v>58</v>
      </c>
      <c r="H42" s="45">
        <v>41852</v>
      </c>
      <c r="I42" s="45"/>
      <c r="J42" s="45">
        <v>41950</v>
      </c>
      <c r="K42" s="12" t="s">
        <v>59</v>
      </c>
      <c r="L42" s="12" t="s">
        <v>60</v>
      </c>
      <c r="M42" s="12"/>
      <c r="N42" s="12"/>
      <c r="O42" s="12"/>
      <c r="P42" s="12"/>
    </row>
    <row r="43" spans="1:16" ht="65.099999999999994" customHeight="1" x14ac:dyDescent="0.25">
      <c r="A43" s="12" t="s">
        <v>190</v>
      </c>
      <c r="B43" s="12" t="s">
        <v>191</v>
      </c>
      <c r="C43" s="12" t="s">
        <v>192</v>
      </c>
      <c r="D43" s="12" t="s">
        <v>55</v>
      </c>
      <c r="E43" s="12" t="s">
        <v>56</v>
      </c>
      <c r="F43" s="12" t="s">
        <v>57</v>
      </c>
      <c r="G43" s="12" t="s">
        <v>58</v>
      </c>
      <c r="H43" s="45">
        <v>42005</v>
      </c>
      <c r="I43" s="45"/>
      <c r="J43" s="45">
        <v>43271</v>
      </c>
      <c r="K43" s="12" t="s">
        <v>59</v>
      </c>
      <c r="L43" s="12" t="s">
        <v>60</v>
      </c>
      <c r="M43" s="12"/>
      <c r="N43" s="12"/>
      <c r="O43" s="12"/>
      <c r="P43" s="12"/>
    </row>
    <row r="44" spans="1:16" ht="65.099999999999994" customHeight="1" x14ac:dyDescent="0.25">
      <c r="A44" s="12" t="s">
        <v>193</v>
      </c>
      <c r="B44" s="12" t="s">
        <v>194</v>
      </c>
      <c r="C44" s="12" t="s">
        <v>195</v>
      </c>
      <c r="D44" s="12" t="s">
        <v>55</v>
      </c>
      <c r="E44" s="12" t="s">
        <v>56</v>
      </c>
      <c r="F44" s="12" t="s">
        <v>57</v>
      </c>
      <c r="G44" s="12" t="s">
        <v>58</v>
      </c>
      <c r="H44" s="45">
        <v>42005</v>
      </c>
      <c r="I44" s="45"/>
      <c r="J44" s="45">
        <v>43271</v>
      </c>
      <c r="K44" s="12" t="s">
        <v>59</v>
      </c>
      <c r="L44" s="12" t="s">
        <v>60</v>
      </c>
      <c r="M44" s="12"/>
      <c r="N44" s="12"/>
      <c r="O44" s="12"/>
      <c r="P44" s="12"/>
    </row>
    <row r="45" spans="1:16" ht="26.1" customHeight="1" x14ac:dyDescent="0.25">
      <c r="A45" s="12" t="s">
        <v>196</v>
      </c>
      <c r="B45" s="12" t="s">
        <v>197</v>
      </c>
      <c r="C45" s="12" t="s">
        <v>198</v>
      </c>
      <c r="D45" s="12" t="s">
        <v>67</v>
      </c>
      <c r="E45" s="12" t="s">
        <v>56</v>
      </c>
      <c r="F45" s="12" t="s">
        <v>89</v>
      </c>
      <c r="G45" s="12" t="s">
        <v>58</v>
      </c>
      <c r="H45" s="45">
        <v>41853</v>
      </c>
      <c r="I45" s="45"/>
      <c r="J45" s="45">
        <v>41949</v>
      </c>
      <c r="K45" s="12" t="s">
        <v>59</v>
      </c>
      <c r="L45" s="12" t="s">
        <v>60</v>
      </c>
      <c r="M45" s="12"/>
      <c r="N45" s="12"/>
      <c r="O45" s="12"/>
      <c r="P45" s="12"/>
    </row>
    <row r="46" spans="1:16" ht="65.099999999999994" customHeight="1" x14ac:dyDescent="0.25">
      <c r="A46" s="12" t="s">
        <v>199</v>
      </c>
      <c r="B46" s="12" t="s">
        <v>200</v>
      </c>
      <c r="C46" s="12" t="s">
        <v>201</v>
      </c>
      <c r="D46" s="12" t="s">
        <v>67</v>
      </c>
      <c r="E46" s="12" t="s">
        <v>56</v>
      </c>
      <c r="F46" s="12" t="s">
        <v>99</v>
      </c>
      <c r="G46" s="12" t="s">
        <v>79</v>
      </c>
      <c r="H46" s="45">
        <v>42370</v>
      </c>
      <c r="I46" s="45"/>
      <c r="J46" s="45">
        <v>41981</v>
      </c>
      <c r="K46" s="12" t="s">
        <v>59</v>
      </c>
      <c r="L46" s="12" t="s">
        <v>60</v>
      </c>
      <c r="M46" s="12"/>
      <c r="N46" s="12"/>
      <c r="O46" s="12"/>
      <c r="P46" s="12"/>
    </row>
    <row r="47" spans="1:16" ht="26.1" customHeight="1" x14ac:dyDescent="0.25">
      <c r="A47" s="12" t="s">
        <v>202</v>
      </c>
      <c r="B47" s="12" t="s">
        <v>200</v>
      </c>
      <c r="C47" s="12" t="s">
        <v>203</v>
      </c>
      <c r="D47" s="12" t="s">
        <v>55</v>
      </c>
      <c r="E47" s="12" t="s">
        <v>56</v>
      </c>
      <c r="F47" s="12" t="s">
        <v>57</v>
      </c>
      <c r="G47" s="12" t="s">
        <v>58</v>
      </c>
      <c r="H47" s="45">
        <v>42005</v>
      </c>
      <c r="I47" s="45"/>
      <c r="J47" s="45">
        <v>43271</v>
      </c>
      <c r="K47" s="12" t="s">
        <v>59</v>
      </c>
      <c r="L47" s="12" t="s">
        <v>60</v>
      </c>
      <c r="M47" s="12"/>
      <c r="N47" s="12"/>
      <c r="O47" s="12"/>
      <c r="P47" s="12"/>
    </row>
  </sheetData>
  <mergeCells count="2">
    <mergeCell ref="L4:N4"/>
    <mergeCell ref="H4:J4"/>
  </mergeCells>
  <hyperlinks>
    <hyperlink ref="A1" location="'Table of Contents'!A1" display="&lt; Table of Contents" xr:uid="{00000000-0004-0000-0100-000000000000}"/>
  </hyperlinks>
  <pageMargins left="0.7" right="0.7" top="0.75" bottom="0.75" header="0.3" footer="0.3"/>
  <pageSetup paperSize="9" scale="56" fitToHeight="0" orientation="landscape"/>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7"/>
  <sheetViews>
    <sheetView showGridLines="0" zoomScaleNormal="100" workbookViewId="0">
      <selection activeCell="E35" sqref="E35"/>
    </sheetView>
  </sheetViews>
  <sheetFormatPr defaultColWidth="9.140625" defaultRowHeight="15" x14ac:dyDescent="0.25"/>
  <cols>
    <col min="1" max="3" width="11.5703125" style="1" customWidth="1"/>
    <col min="4" max="12" width="9.5703125" style="1" customWidth="1"/>
    <col min="13" max="13" width="55.5703125" style="1" customWidth="1"/>
    <col min="14" max="14" width="9.140625" style="1" customWidth="1"/>
    <col min="15" max="16384" width="9.140625" style="1"/>
  </cols>
  <sheetData>
    <row r="1" spans="1:1" s="8" customFormat="1" ht="12.95" customHeight="1" x14ac:dyDescent="0.25">
      <c r="A1" s="7" t="s">
        <v>33</v>
      </c>
    </row>
    <row r="2" spans="1:1" s="8" customFormat="1" ht="12.95" customHeight="1" x14ac:dyDescent="0.25">
      <c r="A2" s="7"/>
    </row>
    <row r="3" spans="1:1" s="8" customFormat="1" ht="21" customHeight="1" x14ac:dyDescent="0.35">
      <c r="A3" s="40" t="s">
        <v>204</v>
      </c>
    </row>
    <row r="4" spans="1:1" s="8" customFormat="1" ht="12.95" customHeight="1" x14ac:dyDescent="0.25">
      <c r="A4" s="7"/>
    </row>
    <row r="5" spans="1:1" s="8" customFormat="1" ht="12.95" customHeight="1" x14ac:dyDescent="0.2">
      <c r="A5" s="11" t="s">
        <v>205</v>
      </c>
    </row>
    <row r="6" spans="1:1" s="11" customFormat="1" x14ac:dyDescent="0.25">
      <c r="A6" s="6" t="s">
        <v>206</v>
      </c>
    </row>
    <row r="7" spans="1:1" x14ac:dyDescent="0.25">
      <c r="A7" s="6"/>
    </row>
  </sheetData>
  <hyperlinks>
    <hyperlink ref="A1" location="'Table of Contents'!A1" display="&lt; Table of Contents" xr:uid="{00000000-0004-0000-0200-000000000000}"/>
    <hyperlink ref="A6" r:id="rId1" xr:uid="{00000000-0004-0000-0200-000001000000}"/>
  </hyperlinks>
  <pageMargins left="0.7" right="0.7" top="0.75" bottom="0.75" header="0.3" footer="0.3"/>
  <pageSetup paperSize="9" fitToHeight="0" orientation="landscape"/>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65"/>
  <sheetViews>
    <sheetView zoomScaleNormal="100" workbookViewId="0">
      <selection activeCell="C11" sqref="C11"/>
    </sheetView>
  </sheetViews>
  <sheetFormatPr defaultColWidth="9.140625" defaultRowHeight="15" x14ac:dyDescent="0.25"/>
  <cols>
    <col min="1" max="1" width="12.5703125" style="17" customWidth="1"/>
    <col min="2" max="2" width="15.5703125" style="17" customWidth="1"/>
    <col min="3" max="3" width="25.5703125" style="17" customWidth="1"/>
    <col min="4" max="5" width="12.5703125" style="17" customWidth="1"/>
    <col min="6" max="6" width="40.5703125" style="17" customWidth="1"/>
    <col min="7" max="7" width="20.5703125" style="17" customWidth="1"/>
    <col min="8" max="8" width="15.5703125" style="17" customWidth="1"/>
    <col min="9" max="11" width="17.5703125" style="17" customWidth="1"/>
    <col min="12" max="12" width="12.5703125" style="17" customWidth="1"/>
    <col min="13" max="15" width="20.5703125" style="17" customWidth="1"/>
    <col min="16" max="16" width="70.5703125" style="17" customWidth="1"/>
    <col min="17" max="17" width="8.85546875" style="1" customWidth="1"/>
    <col min="18" max="18" width="9.140625" style="17" customWidth="1"/>
    <col min="19" max="16384" width="9.140625" style="17"/>
  </cols>
  <sheetData>
    <row r="1" spans="1:17" s="8" customFormat="1" ht="12.95" customHeight="1" x14ac:dyDescent="0.25">
      <c r="A1" s="36" t="s">
        <v>33</v>
      </c>
      <c r="B1" s="12"/>
      <c r="C1" s="12"/>
      <c r="D1" s="12"/>
      <c r="E1" s="12"/>
      <c r="F1" s="12"/>
      <c r="G1" s="12"/>
      <c r="H1" s="12"/>
      <c r="I1" s="45"/>
      <c r="J1" s="45"/>
      <c r="K1" s="45"/>
      <c r="L1" s="12"/>
      <c r="M1" s="12"/>
      <c r="N1" s="12"/>
      <c r="O1" s="12"/>
      <c r="P1" s="12"/>
      <c r="Q1" s="12"/>
    </row>
    <row r="2" spans="1:17" s="8" customFormat="1" ht="12.95" customHeight="1" x14ac:dyDescent="0.25">
      <c r="A2" s="39"/>
      <c r="B2" s="12"/>
      <c r="C2" s="12"/>
      <c r="D2" s="12"/>
      <c r="E2" s="12"/>
      <c r="F2" s="12"/>
      <c r="G2" s="12"/>
      <c r="H2" s="12"/>
      <c r="I2" s="45"/>
      <c r="J2" s="45"/>
      <c r="K2" s="45"/>
      <c r="L2" s="12"/>
      <c r="M2" s="12"/>
      <c r="N2" s="12"/>
      <c r="O2" s="12"/>
      <c r="P2" s="12"/>
      <c r="Q2" s="12"/>
    </row>
    <row r="3" spans="1:17" s="8" customFormat="1" ht="21" customHeight="1" x14ac:dyDescent="0.35">
      <c r="A3" s="40" t="s">
        <v>207</v>
      </c>
      <c r="B3" s="12"/>
      <c r="C3" s="12"/>
      <c r="D3" s="12"/>
      <c r="E3" s="12"/>
      <c r="F3" s="12"/>
      <c r="G3" s="12"/>
      <c r="H3" s="12"/>
      <c r="I3" s="45"/>
      <c r="J3" s="45"/>
      <c r="K3" s="45"/>
      <c r="L3" s="12"/>
      <c r="M3" s="12"/>
      <c r="N3" s="12"/>
      <c r="O3" s="12"/>
      <c r="P3" s="12"/>
      <c r="Q3" s="12"/>
    </row>
    <row r="4" spans="1:17" s="8" customFormat="1" ht="12.95" customHeight="1" x14ac:dyDescent="0.25">
      <c r="A4" s="39"/>
      <c r="B4" s="12"/>
      <c r="C4" s="12"/>
      <c r="D4" s="12"/>
      <c r="E4" s="12"/>
      <c r="F4" s="12"/>
      <c r="G4" s="12"/>
      <c r="H4" s="12"/>
      <c r="I4" s="57" t="s">
        <v>35</v>
      </c>
      <c r="J4" s="55"/>
      <c r="K4" s="56"/>
      <c r="L4" s="12"/>
      <c r="M4" s="58" t="s">
        <v>36</v>
      </c>
      <c r="N4" s="55"/>
      <c r="O4" s="56"/>
      <c r="P4" s="12"/>
      <c r="Q4" s="12"/>
    </row>
    <row r="5" spans="1:17" ht="26.1" customHeight="1" x14ac:dyDescent="0.2">
      <c r="A5" s="41" t="s">
        <v>37</v>
      </c>
      <c r="B5" s="41" t="s">
        <v>38</v>
      </c>
      <c r="C5" s="41" t="s">
        <v>39</v>
      </c>
      <c r="D5" s="41" t="s">
        <v>208</v>
      </c>
      <c r="E5" s="41" t="s">
        <v>41</v>
      </c>
      <c r="F5" s="41" t="s">
        <v>42</v>
      </c>
      <c r="G5" s="41" t="s">
        <v>209</v>
      </c>
      <c r="H5" s="41" t="s">
        <v>210</v>
      </c>
      <c r="I5" s="42" t="s">
        <v>44</v>
      </c>
      <c r="J5" s="42" t="s">
        <v>45</v>
      </c>
      <c r="K5" s="42" t="s">
        <v>46</v>
      </c>
      <c r="L5" s="41" t="s">
        <v>47</v>
      </c>
      <c r="M5" s="43" t="s">
        <v>48</v>
      </c>
      <c r="N5" s="43" t="s">
        <v>49</v>
      </c>
      <c r="O5" s="43" t="s">
        <v>50</v>
      </c>
      <c r="P5" s="41" t="s">
        <v>51</v>
      </c>
      <c r="Q5" s="44"/>
    </row>
    <row r="6" spans="1:17" ht="156" customHeight="1" x14ac:dyDescent="0.25">
      <c r="A6" s="12" t="s">
        <v>253</v>
      </c>
      <c r="B6" s="12" t="s">
        <v>112</v>
      </c>
      <c r="C6" s="12" t="s">
        <v>113</v>
      </c>
      <c r="D6" s="12" t="s">
        <v>67</v>
      </c>
      <c r="E6" s="12" t="s">
        <v>212</v>
      </c>
      <c r="F6" s="12" t="s">
        <v>254</v>
      </c>
      <c r="G6" s="12">
        <v>1</v>
      </c>
      <c r="H6" s="12" t="s">
        <v>249</v>
      </c>
      <c r="I6" s="45">
        <v>42370</v>
      </c>
      <c r="J6" s="45">
        <v>42476</v>
      </c>
      <c r="K6" s="45">
        <v>42129</v>
      </c>
      <c r="L6" s="12" t="s">
        <v>91</v>
      </c>
      <c r="M6" s="12" t="s">
        <v>60</v>
      </c>
      <c r="N6" s="12"/>
      <c r="O6" s="12"/>
      <c r="P6" s="12"/>
      <c r="Q6" s="12"/>
    </row>
    <row r="7" spans="1:17" ht="39" customHeight="1" x14ac:dyDescent="0.25">
      <c r="A7" s="12" t="s">
        <v>247</v>
      </c>
      <c r="B7" s="12" t="s">
        <v>109</v>
      </c>
      <c r="C7" s="12" t="s">
        <v>219</v>
      </c>
      <c r="D7" s="12" t="s">
        <v>77</v>
      </c>
      <c r="E7" s="12" t="s">
        <v>212</v>
      </c>
      <c r="F7" s="12" t="s">
        <v>248</v>
      </c>
      <c r="G7" s="12">
        <v>4</v>
      </c>
      <c r="H7" s="12" t="s">
        <v>249</v>
      </c>
      <c r="I7" s="45">
        <v>42370</v>
      </c>
      <c r="J7" s="45"/>
      <c r="K7" s="45">
        <v>42068</v>
      </c>
      <c r="L7" s="12" t="s">
        <v>91</v>
      </c>
      <c r="M7" s="12" t="s">
        <v>60</v>
      </c>
      <c r="N7" s="12"/>
      <c r="O7" s="12"/>
      <c r="P7" s="12" t="s">
        <v>250</v>
      </c>
      <c r="Q7" s="12"/>
    </row>
    <row r="8" spans="1:17" ht="26.1" customHeight="1" x14ac:dyDescent="0.25">
      <c r="A8" s="12" t="s">
        <v>255</v>
      </c>
      <c r="B8" s="12" t="s">
        <v>112</v>
      </c>
      <c r="C8" s="12" t="s">
        <v>113</v>
      </c>
      <c r="D8" s="12" t="s">
        <v>77</v>
      </c>
      <c r="E8" s="12" t="s">
        <v>212</v>
      </c>
      <c r="F8" s="12" t="s">
        <v>256</v>
      </c>
      <c r="G8" s="12">
        <v>1</v>
      </c>
      <c r="H8" s="12" t="s">
        <v>249</v>
      </c>
      <c r="I8" s="45">
        <v>42370</v>
      </c>
      <c r="J8" s="45">
        <v>42359</v>
      </c>
      <c r="K8" s="45">
        <v>42356</v>
      </c>
      <c r="L8" s="12" t="s">
        <v>91</v>
      </c>
      <c r="M8" s="12" t="s">
        <v>60</v>
      </c>
      <c r="N8" s="12"/>
      <c r="O8" s="12"/>
      <c r="P8" s="12"/>
      <c r="Q8" s="12"/>
    </row>
    <row r="9" spans="1:17" ht="26.1" customHeight="1" x14ac:dyDescent="0.25">
      <c r="A9" s="12" t="s">
        <v>272</v>
      </c>
      <c r="B9" s="12" t="s">
        <v>132</v>
      </c>
      <c r="C9" s="12" t="s">
        <v>133</v>
      </c>
      <c r="D9" s="12" t="s">
        <v>77</v>
      </c>
      <c r="E9" s="12" t="s">
        <v>212</v>
      </c>
      <c r="F9" s="12" t="s">
        <v>273</v>
      </c>
      <c r="G9" s="12">
        <v>1</v>
      </c>
      <c r="H9" s="12" t="s">
        <v>249</v>
      </c>
      <c r="I9" s="45">
        <v>42370</v>
      </c>
      <c r="J9" s="45"/>
      <c r="K9" s="45">
        <v>42065</v>
      </c>
      <c r="L9" s="12" t="s">
        <v>91</v>
      </c>
      <c r="M9" s="12" t="s">
        <v>60</v>
      </c>
      <c r="N9" s="12"/>
      <c r="O9" s="12"/>
      <c r="P9" s="12" t="s">
        <v>274</v>
      </c>
      <c r="Q9" s="12"/>
    </row>
    <row r="10" spans="1:17" ht="26.1" customHeight="1" x14ac:dyDescent="0.25">
      <c r="A10" s="12" t="s">
        <v>294</v>
      </c>
      <c r="B10" s="12" t="s">
        <v>132</v>
      </c>
      <c r="C10" s="12" t="s">
        <v>133</v>
      </c>
      <c r="D10" s="12" t="s">
        <v>77</v>
      </c>
      <c r="E10" s="12" t="s">
        <v>212</v>
      </c>
      <c r="F10" s="12" t="s">
        <v>295</v>
      </c>
      <c r="G10" s="12">
        <v>1</v>
      </c>
      <c r="H10" s="12" t="s">
        <v>214</v>
      </c>
      <c r="I10" s="45">
        <v>42736</v>
      </c>
      <c r="J10" s="45">
        <v>42345</v>
      </c>
      <c r="K10" s="45">
        <v>42352</v>
      </c>
      <c r="L10" s="12" t="s">
        <v>91</v>
      </c>
      <c r="M10" s="12" t="s">
        <v>60</v>
      </c>
      <c r="N10" s="12"/>
      <c r="O10" s="12"/>
      <c r="P10" s="12" t="s">
        <v>296</v>
      </c>
      <c r="Q10" s="12"/>
    </row>
    <row r="11" spans="1:17" ht="26.1" customHeight="1" x14ac:dyDescent="0.25">
      <c r="A11" s="12" t="s">
        <v>306</v>
      </c>
      <c r="B11" s="12" t="s">
        <v>163</v>
      </c>
      <c r="C11" s="12" t="s">
        <v>164</v>
      </c>
      <c r="D11" s="12" t="s">
        <v>77</v>
      </c>
      <c r="E11" s="12" t="s">
        <v>212</v>
      </c>
      <c r="F11" s="12" t="s">
        <v>307</v>
      </c>
      <c r="G11" s="12">
        <v>1</v>
      </c>
      <c r="H11" s="12" t="s">
        <v>214</v>
      </c>
      <c r="I11" s="45">
        <v>42370</v>
      </c>
      <c r="J11" s="45"/>
      <c r="K11" s="45">
        <v>42353</v>
      </c>
      <c r="L11" s="12" t="s">
        <v>91</v>
      </c>
      <c r="M11" s="12" t="s">
        <v>60</v>
      </c>
      <c r="N11" s="12"/>
      <c r="O11" s="12"/>
      <c r="P11" s="12"/>
      <c r="Q11" s="12"/>
    </row>
    <row r="12" spans="1:17" ht="26.1" customHeight="1" x14ac:dyDescent="0.25">
      <c r="A12" s="12" t="s">
        <v>308</v>
      </c>
      <c r="B12" s="12" t="s">
        <v>163</v>
      </c>
      <c r="C12" s="12" t="s">
        <v>164</v>
      </c>
      <c r="D12" s="12" t="s">
        <v>77</v>
      </c>
      <c r="E12" s="12" t="s">
        <v>212</v>
      </c>
      <c r="F12" s="12" t="s">
        <v>309</v>
      </c>
      <c r="G12" s="12">
        <v>1</v>
      </c>
      <c r="H12" s="12" t="s">
        <v>249</v>
      </c>
      <c r="I12" s="45">
        <v>42370</v>
      </c>
      <c r="J12" s="45"/>
      <c r="K12" s="45">
        <v>42055</v>
      </c>
      <c r="L12" s="12" t="s">
        <v>91</v>
      </c>
      <c r="M12" s="12" t="s">
        <v>60</v>
      </c>
      <c r="N12" s="12"/>
      <c r="O12" s="12"/>
      <c r="P12" s="12"/>
      <c r="Q12" s="12"/>
    </row>
    <row r="13" spans="1:17" ht="39" customHeight="1" x14ac:dyDescent="0.25">
      <c r="A13" s="12" t="s">
        <v>315</v>
      </c>
      <c r="B13" s="12" t="s">
        <v>194</v>
      </c>
      <c r="C13" s="12" t="s">
        <v>195</v>
      </c>
      <c r="D13" s="12" t="s">
        <v>77</v>
      </c>
      <c r="E13" s="12" t="s">
        <v>212</v>
      </c>
      <c r="F13" s="12" t="s">
        <v>316</v>
      </c>
      <c r="G13" s="12">
        <v>2</v>
      </c>
      <c r="H13" s="12" t="s">
        <v>214</v>
      </c>
      <c r="I13" s="45">
        <v>42370</v>
      </c>
      <c r="J13" s="45">
        <v>42332</v>
      </c>
      <c r="K13" s="45">
        <v>42318</v>
      </c>
      <c r="L13" s="12" t="s">
        <v>91</v>
      </c>
      <c r="M13" s="12" t="s">
        <v>60</v>
      </c>
      <c r="N13" s="12"/>
      <c r="O13" s="12"/>
      <c r="P13" s="12" t="s">
        <v>317</v>
      </c>
      <c r="Q13" s="12"/>
    </row>
    <row r="14" spans="1:17" ht="26.1" customHeight="1" x14ac:dyDescent="0.25">
      <c r="A14" s="12" t="s">
        <v>348</v>
      </c>
      <c r="B14" s="12" t="s">
        <v>197</v>
      </c>
      <c r="C14" s="12" t="s">
        <v>198</v>
      </c>
      <c r="D14" s="12" t="s">
        <v>77</v>
      </c>
      <c r="E14" s="12" t="s">
        <v>212</v>
      </c>
      <c r="F14" s="12" t="s">
        <v>349</v>
      </c>
      <c r="G14" s="12">
        <v>1</v>
      </c>
      <c r="H14" s="12" t="s">
        <v>249</v>
      </c>
      <c r="I14" s="45">
        <v>42370</v>
      </c>
      <c r="J14" s="45">
        <v>42177</v>
      </c>
      <c r="K14" s="45">
        <v>42178</v>
      </c>
      <c r="L14" s="12" t="s">
        <v>91</v>
      </c>
      <c r="M14" s="12" t="s">
        <v>60</v>
      </c>
      <c r="N14" s="12"/>
      <c r="O14" s="12"/>
      <c r="P14" s="12" t="s">
        <v>350</v>
      </c>
      <c r="Q14" s="12"/>
    </row>
    <row r="15" spans="1:17" ht="39" customHeight="1" x14ac:dyDescent="0.25">
      <c r="A15" s="12" t="s">
        <v>353</v>
      </c>
      <c r="B15" s="12" t="s">
        <v>200</v>
      </c>
      <c r="C15" s="12" t="s">
        <v>203</v>
      </c>
      <c r="D15" s="12" t="s">
        <v>77</v>
      </c>
      <c r="E15" s="12" t="s">
        <v>212</v>
      </c>
      <c r="F15" s="12" t="s">
        <v>354</v>
      </c>
      <c r="G15" s="12">
        <v>4</v>
      </c>
      <c r="H15" s="12" t="s">
        <v>249</v>
      </c>
      <c r="I15" s="45">
        <v>42370</v>
      </c>
      <c r="J15" s="45"/>
      <c r="K15" s="45">
        <v>42062</v>
      </c>
      <c r="L15" s="12" t="s">
        <v>91</v>
      </c>
      <c r="M15" s="12" t="s">
        <v>60</v>
      </c>
      <c r="N15" s="12"/>
      <c r="O15" s="12"/>
      <c r="P15" s="12" t="s">
        <v>355</v>
      </c>
      <c r="Q15" s="12"/>
    </row>
    <row r="16" spans="1:17" ht="39" customHeight="1" x14ac:dyDescent="0.25">
      <c r="A16" s="12" t="s">
        <v>359</v>
      </c>
      <c r="B16" s="12" t="s">
        <v>200</v>
      </c>
      <c r="C16" s="12" t="s">
        <v>203</v>
      </c>
      <c r="D16" s="12" t="s">
        <v>77</v>
      </c>
      <c r="E16" s="12" t="s">
        <v>212</v>
      </c>
      <c r="F16" s="12" t="s">
        <v>360</v>
      </c>
      <c r="G16" s="12">
        <v>4</v>
      </c>
      <c r="H16" s="12" t="s">
        <v>214</v>
      </c>
      <c r="I16" s="45">
        <v>42370</v>
      </c>
      <c r="J16" s="45"/>
      <c r="K16" s="45">
        <v>42353</v>
      </c>
      <c r="L16" s="12" t="s">
        <v>91</v>
      </c>
      <c r="M16" s="12" t="s">
        <v>60</v>
      </c>
      <c r="N16" s="12"/>
      <c r="O16" s="12"/>
      <c r="P16" s="12" t="s">
        <v>361</v>
      </c>
      <c r="Q16" s="12"/>
    </row>
    <row r="17" spans="1:17" ht="26.1" customHeight="1" x14ac:dyDescent="0.25">
      <c r="A17" s="12" t="s">
        <v>245</v>
      </c>
      <c r="B17" s="12" t="s">
        <v>109</v>
      </c>
      <c r="C17" s="12" t="s">
        <v>219</v>
      </c>
      <c r="D17" s="12" t="s">
        <v>126</v>
      </c>
      <c r="E17" s="12" t="s">
        <v>212</v>
      </c>
      <c r="F17" s="12" t="s">
        <v>237</v>
      </c>
      <c r="G17" s="12">
        <v>4</v>
      </c>
      <c r="H17" s="12" t="s">
        <v>214</v>
      </c>
      <c r="I17" s="45">
        <v>43101</v>
      </c>
      <c r="J17" s="45">
        <v>42695</v>
      </c>
      <c r="K17" s="45">
        <v>42710</v>
      </c>
      <c r="L17" s="12" t="s">
        <v>91</v>
      </c>
      <c r="M17" s="12" t="s">
        <v>60</v>
      </c>
      <c r="N17" s="12"/>
      <c r="O17" s="12"/>
      <c r="P17" s="12" t="s">
        <v>246</v>
      </c>
      <c r="Q17" s="12"/>
    </row>
    <row r="18" spans="1:17" ht="26.1" customHeight="1" x14ac:dyDescent="0.25">
      <c r="A18" s="12" t="s">
        <v>257</v>
      </c>
      <c r="B18" s="12" t="s">
        <v>112</v>
      </c>
      <c r="C18" s="12" t="s">
        <v>113</v>
      </c>
      <c r="D18" s="12" t="s">
        <v>126</v>
      </c>
      <c r="E18" s="12" t="s">
        <v>212</v>
      </c>
      <c r="F18" s="12" t="s">
        <v>258</v>
      </c>
      <c r="G18" s="12">
        <v>1</v>
      </c>
      <c r="H18" s="12" t="s">
        <v>214</v>
      </c>
      <c r="I18" s="45">
        <v>42736</v>
      </c>
      <c r="J18" s="45">
        <v>42719</v>
      </c>
      <c r="K18" s="45">
        <v>42719</v>
      </c>
      <c r="L18" s="12" t="s">
        <v>91</v>
      </c>
      <c r="M18" s="12" t="s">
        <v>60</v>
      </c>
      <c r="N18" s="12"/>
      <c r="O18" s="12"/>
      <c r="P18" s="12"/>
      <c r="Q18" s="12"/>
    </row>
    <row r="19" spans="1:17" ht="26.1" customHeight="1" x14ac:dyDescent="0.25">
      <c r="A19" s="12" t="s">
        <v>292</v>
      </c>
      <c r="B19" s="12" t="s">
        <v>132</v>
      </c>
      <c r="C19" s="12" t="s">
        <v>133</v>
      </c>
      <c r="D19" s="12" t="s">
        <v>126</v>
      </c>
      <c r="E19" s="12" t="s">
        <v>212</v>
      </c>
      <c r="F19" s="12" t="s">
        <v>286</v>
      </c>
      <c r="G19" s="12">
        <v>1</v>
      </c>
      <c r="H19" s="12" t="s">
        <v>214</v>
      </c>
      <c r="I19" s="45">
        <v>43101</v>
      </c>
      <c r="J19" s="45">
        <v>42717</v>
      </c>
      <c r="K19" s="45">
        <v>42717</v>
      </c>
      <c r="L19" s="12" t="s">
        <v>91</v>
      </c>
      <c r="M19" s="12" t="s">
        <v>60</v>
      </c>
      <c r="N19" s="12"/>
      <c r="O19" s="12"/>
      <c r="P19" s="12" t="s">
        <v>293</v>
      </c>
      <c r="Q19" s="12"/>
    </row>
    <row r="20" spans="1:17" ht="26.1" customHeight="1" x14ac:dyDescent="0.25">
      <c r="A20" s="12" t="s">
        <v>330</v>
      </c>
      <c r="B20" s="12" t="s">
        <v>194</v>
      </c>
      <c r="C20" s="12" t="s">
        <v>195</v>
      </c>
      <c r="D20" s="12" t="s">
        <v>126</v>
      </c>
      <c r="E20" s="12" t="s">
        <v>212</v>
      </c>
      <c r="F20" s="12" t="s">
        <v>331</v>
      </c>
      <c r="G20" s="12">
        <v>1</v>
      </c>
      <c r="H20" s="12" t="s">
        <v>214</v>
      </c>
      <c r="I20" s="45">
        <v>42736</v>
      </c>
      <c r="J20" s="45">
        <v>42669</v>
      </c>
      <c r="K20" s="45">
        <v>42681</v>
      </c>
      <c r="L20" s="12" t="s">
        <v>91</v>
      </c>
      <c r="M20" s="12" t="s">
        <v>60</v>
      </c>
      <c r="N20" s="12"/>
      <c r="O20" s="12"/>
      <c r="P20" s="12" t="s">
        <v>332</v>
      </c>
      <c r="Q20" s="12"/>
    </row>
    <row r="21" spans="1:17" ht="26.1" customHeight="1" x14ac:dyDescent="0.25">
      <c r="A21" s="12" t="s">
        <v>339</v>
      </c>
      <c r="B21" s="12" t="s">
        <v>194</v>
      </c>
      <c r="C21" s="12" t="s">
        <v>195</v>
      </c>
      <c r="D21" s="12" t="s">
        <v>126</v>
      </c>
      <c r="E21" s="12" t="s">
        <v>212</v>
      </c>
      <c r="F21" s="12" t="s">
        <v>340</v>
      </c>
      <c r="G21" s="12">
        <v>1</v>
      </c>
      <c r="H21" s="12" t="s">
        <v>214</v>
      </c>
      <c r="I21" s="45">
        <v>43101</v>
      </c>
      <c r="J21" s="45">
        <v>42718</v>
      </c>
      <c r="K21" s="45">
        <v>42719</v>
      </c>
      <c r="L21" s="12" t="s">
        <v>91</v>
      </c>
      <c r="M21" s="12" t="s">
        <v>60</v>
      </c>
      <c r="N21" s="12"/>
      <c r="O21" s="12"/>
      <c r="P21" s="12" t="s">
        <v>341</v>
      </c>
      <c r="Q21" s="12"/>
    </row>
    <row r="22" spans="1:17" ht="51.95" customHeight="1" x14ac:dyDescent="0.25">
      <c r="A22" s="12" t="s">
        <v>362</v>
      </c>
      <c r="B22" s="12" t="s">
        <v>200</v>
      </c>
      <c r="C22" s="12" t="s">
        <v>203</v>
      </c>
      <c r="D22" s="12" t="s">
        <v>126</v>
      </c>
      <c r="E22" s="12" t="s">
        <v>212</v>
      </c>
      <c r="F22" s="12" t="s">
        <v>237</v>
      </c>
      <c r="G22" s="12">
        <v>4</v>
      </c>
      <c r="H22" s="12" t="s">
        <v>214</v>
      </c>
      <c r="I22" s="45">
        <v>43101</v>
      </c>
      <c r="J22" s="45">
        <v>42711</v>
      </c>
      <c r="K22" s="45">
        <v>42711</v>
      </c>
      <c r="L22" s="12" t="s">
        <v>91</v>
      </c>
      <c r="M22" s="12" t="s">
        <v>60</v>
      </c>
      <c r="N22" s="12"/>
      <c r="O22" s="12"/>
      <c r="P22" s="12" t="s">
        <v>363</v>
      </c>
      <c r="Q22" s="12"/>
    </row>
    <row r="23" spans="1:17" ht="26.1" customHeight="1" x14ac:dyDescent="0.25">
      <c r="A23" s="12" t="s">
        <v>242</v>
      </c>
      <c r="B23" s="12" t="s">
        <v>109</v>
      </c>
      <c r="C23" s="12" t="s">
        <v>219</v>
      </c>
      <c r="D23" s="12" t="s">
        <v>83</v>
      </c>
      <c r="E23" s="12" t="s">
        <v>212</v>
      </c>
      <c r="F23" s="12" t="s">
        <v>243</v>
      </c>
      <c r="G23" s="12">
        <v>3</v>
      </c>
      <c r="H23" s="12" t="s">
        <v>214</v>
      </c>
      <c r="I23" s="45">
        <v>43466</v>
      </c>
      <c r="J23" s="45">
        <v>43046</v>
      </c>
      <c r="K23" s="45">
        <v>43062</v>
      </c>
      <c r="L23" s="12" t="s">
        <v>91</v>
      </c>
      <c r="M23" s="12" t="s">
        <v>60</v>
      </c>
      <c r="N23" s="12"/>
      <c r="O23" s="12"/>
      <c r="P23" s="12" t="s">
        <v>244</v>
      </c>
      <c r="Q23" s="12"/>
    </row>
    <row r="24" spans="1:17" ht="39" customHeight="1" x14ac:dyDescent="0.25">
      <c r="A24" s="12" t="s">
        <v>259</v>
      </c>
      <c r="B24" s="12" t="s">
        <v>112</v>
      </c>
      <c r="C24" s="12" t="s">
        <v>113</v>
      </c>
      <c r="D24" s="12" t="s">
        <v>83</v>
      </c>
      <c r="E24" s="12" t="s">
        <v>212</v>
      </c>
      <c r="F24" s="12" t="s">
        <v>258</v>
      </c>
      <c r="G24" s="12">
        <v>1</v>
      </c>
      <c r="H24" s="12" t="s">
        <v>214</v>
      </c>
      <c r="I24" s="45">
        <v>42370</v>
      </c>
      <c r="J24" s="45">
        <v>43084</v>
      </c>
      <c r="K24" s="45">
        <v>43102</v>
      </c>
      <c r="L24" s="12" t="s">
        <v>91</v>
      </c>
      <c r="M24" s="12" t="s">
        <v>60</v>
      </c>
      <c r="N24" s="12"/>
      <c r="O24" s="12"/>
      <c r="P24" s="12"/>
      <c r="Q24" s="12"/>
    </row>
    <row r="25" spans="1:17" ht="26.1" customHeight="1" x14ac:dyDescent="0.25">
      <c r="A25" s="12" t="s">
        <v>290</v>
      </c>
      <c r="B25" s="12" t="s">
        <v>132</v>
      </c>
      <c r="C25" s="12" t="s">
        <v>133</v>
      </c>
      <c r="D25" s="12" t="s">
        <v>83</v>
      </c>
      <c r="E25" s="12" t="s">
        <v>212</v>
      </c>
      <c r="F25" s="12" t="s">
        <v>286</v>
      </c>
      <c r="G25" s="12">
        <v>1</v>
      </c>
      <c r="H25" s="12" t="s">
        <v>214</v>
      </c>
      <c r="I25" s="45">
        <v>43466</v>
      </c>
      <c r="J25" s="45">
        <v>43081</v>
      </c>
      <c r="K25" s="45">
        <v>43080</v>
      </c>
      <c r="L25" s="12" t="s">
        <v>91</v>
      </c>
      <c r="M25" s="12" t="s">
        <v>60</v>
      </c>
      <c r="N25" s="12"/>
      <c r="O25" s="12"/>
      <c r="P25" s="12" t="s">
        <v>291</v>
      </c>
      <c r="Q25" s="12"/>
    </row>
    <row r="26" spans="1:17" ht="26.1" customHeight="1" x14ac:dyDescent="0.25">
      <c r="A26" s="12" t="s">
        <v>304</v>
      </c>
      <c r="B26" s="12" t="s">
        <v>163</v>
      </c>
      <c r="C26" s="12" t="s">
        <v>164</v>
      </c>
      <c r="D26" s="12" t="s">
        <v>83</v>
      </c>
      <c r="E26" s="12" t="s">
        <v>212</v>
      </c>
      <c r="F26" s="12" t="s">
        <v>305</v>
      </c>
      <c r="G26" s="12">
        <v>1</v>
      </c>
      <c r="H26" s="12" t="s">
        <v>214</v>
      </c>
      <c r="I26" s="45">
        <v>43101</v>
      </c>
      <c r="J26" s="45"/>
      <c r="K26" s="45">
        <v>43081</v>
      </c>
      <c r="L26" s="12" t="s">
        <v>91</v>
      </c>
      <c r="M26" s="12" t="s">
        <v>60</v>
      </c>
      <c r="N26" s="12"/>
      <c r="O26" s="12"/>
      <c r="P26" s="12"/>
      <c r="Q26" s="12"/>
    </row>
    <row r="27" spans="1:17" ht="26.1" customHeight="1" x14ac:dyDescent="0.25">
      <c r="A27" s="12" t="s">
        <v>342</v>
      </c>
      <c r="B27" s="12" t="s">
        <v>194</v>
      </c>
      <c r="C27" s="12" t="s">
        <v>195</v>
      </c>
      <c r="D27" s="12" t="s">
        <v>83</v>
      </c>
      <c r="E27" s="12" t="s">
        <v>212</v>
      </c>
      <c r="F27" s="12" t="s">
        <v>343</v>
      </c>
      <c r="G27" s="12">
        <v>1</v>
      </c>
      <c r="H27" s="12" t="s">
        <v>214</v>
      </c>
      <c r="I27" s="45">
        <v>43466</v>
      </c>
      <c r="J27" s="45">
        <v>43062</v>
      </c>
      <c r="K27" s="45">
        <v>43031</v>
      </c>
      <c r="L27" s="12" t="s">
        <v>91</v>
      </c>
      <c r="M27" s="12" t="s">
        <v>60</v>
      </c>
      <c r="N27" s="12"/>
      <c r="O27" s="12"/>
      <c r="P27" s="12" t="s">
        <v>344</v>
      </c>
      <c r="Q27" s="12"/>
    </row>
    <row r="28" spans="1:17" ht="26.1" customHeight="1" x14ac:dyDescent="0.25">
      <c r="A28" s="12" t="s">
        <v>351</v>
      </c>
      <c r="B28" s="12" t="s">
        <v>197</v>
      </c>
      <c r="C28" s="12" t="s">
        <v>198</v>
      </c>
      <c r="D28" s="12" t="s">
        <v>83</v>
      </c>
      <c r="E28" s="12" t="s">
        <v>212</v>
      </c>
      <c r="F28" s="12" t="s">
        <v>349</v>
      </c>
      <c r="G28" s="12">
        <v>1</v>
      </c>
      <c r="H28" s="12" t="s">
        <v>214</v>
      </c>
      <c r="I28" s="45">
        <v>43060</v>
      </c>
      <c r="J28" s="45">
        <v>43060</v>
      </c>
      <c r="K28" s="45">
        <v>43090</v>
      </c>
      <c r="L28" s="12" t="s">
        <v>91</v>
      </c>
      <c r="M28" s="12" t="s">
        <v>60</v>
      </c>
      <c r="N28" s="12"/>
      <c r="O28" s="12"/>
      <c r="P28" s="12" t="s">
        <v>352</v>
      </c>
      <c r="Q28" s="12"/>
    </row>
    <row r="29" spans="1:17" ht="26.1" customHeight="1" x14ac:dyDescent="0.25">
      <c r="A29" s="12" t="s">
        <v>364</v>
      </c>
      <c r="B29" s="12" t="s">
        <v>200</v>
      </c>
      <c r="C29" s="12" t="s">
        <v>203</v>
      </c>
      <c r="D29" s="12" t="s">
        <v>83</v>
      </c>
      <c r="E29" s="12" t="s">
        <v>212</v>
      </c>
      <c r="F29" s="12" t="s">
        <v>237</v>
      </c>
      <c r="G29" s="12">
        <v>4</v>
      </c>
      <c r="H29" s="12" t="s">
        <v>214</v>
      </c>
      <c r="I29" s="45">
        <v>43101</v>
      </c>
      <c r="J29" s="45">
        <v>43004</v>
      </c>
      <c r="K29" s="45">
        <v>43084</v>
      </c>
      <c r="L29" s="12" t="s">
        <v>91</v>
      </c>
      <c r="M29" s="12" t="s">
        <v>60</v>
      </c>
      <c r="N29" s="12"/>
      <c r="O29" s="12"/>
      <c r="P29" s="12" t="s">
        <v>358</v>
      </c>
      <c r="Q29" s="12"/>
    </row>
    <row r="30" spans="1:17" ht="39" customHeight="1" x14ac:dyDescent="0.25">
      <c r="A30" s="12" t="s">
        <v>211</v>
      </c>
      <c r="B30" s="12" t="s">
        <v>106</v>
      </c>
      <c r="C30" s="12" t="s">
        <v>107</v>
      </c>
      <c r="D30" s="12" t="s">
        <v>55</v>
      </c>
      <c r="E30" s="12" t="s">
        <v>212</v>
      </c>
      <c r="F30" s="12" t="s">
        <v>213</v>
      </c>
      <c r="G30" s="12">
        <v>1</v>
      </c>
      <c r="H30" s="12" t="s">
        <v>214</v>
      </c>
      <c r="I30" s="45">
        <v>43831</v>
      </c>
      <c r="J30" s="45">
        <v>43280</v>
      </c>
      <c r="K30" s="45">
        <v>43249</v>
      </c>
      <c r="L30" s="12" t="s">
        <v>91</v>
      </c>
      <c r="M30" s="12" t="s">
        <v>215</v>
      </c>
      <c r="N30" s="12" t="s">
        <v>216</v>
      </c>
      <c r="O30" s="12" t="s">
        <v>217</v>
      </c>
      <c r="P30" s="12"/>
      <c r="Q30" s="12"/>
    </row>
    <row r="31" spans="1:17" ht="26.1" customHeight="1" x14ac:dyDescent="0.25">
      <c r="A31" s="12" t="s">
        <v>239</v>
      </c>
      <c r="B31" s="12" t="s">
        <v>109</v>
      </c>
      <c r="C31" s="12" t="s">
        <v>219</v>
      </c>
      <c r="D31" s="12" t="s">
        <v>55</v>
      </c>
      <c r="E31" s="12" t="s">
        <v>212</v>
      </c>
      <c r="F31" s="12" t="s">
        <v>240</v>
      </c>
      <c r="G31" s="12">
        <v>4</v>
      </c>
      <c r="H31" s="12" t="s">
        <v>214</v>
      </c>
      <c r="I31" s="45">
        <v>43831</v>
      </c>
      <c r="J31" s="45">
        <v>43385</v>
      </c>
      <c r="K31" s="45">
        <v>43402</v>
      </c>
      <c r="L31" s="12" t="s">
        <v>91</v>
      </c>
      <c r="M31" s="12" t="s">
        <v>60</v>
      </c>
      <c r="N31" s="12"/>
      <c r="O31" s="12"/>
      <c r="P31" s="12" t="s">
        <v>241</v>
      </c>
      <c r="Q31" s="12"/>
    </row>
    <row r="32" spans="1:17" ht="26.1" customHeight="1" x14ac:dyDescent="0.25">
      <c r="A32" s="12" t="s">
        <v>260</v>
      </c>
      <c r="B32" s="12" t="s">
        <v>112</v>
      </c>
      <c r="C32" s="12" t="s">
        <v>113</v>
      </c>
      <c r="D32" s="12" t="s">
        <v>55</v>
      </c>
      <c r="E32" s="12" t="s">
        <v>212</v>
      </c>
      <c r="F32" s="12" t="s">
        <v>258</v>
      </c>
      <c r="G32" s="12">
        <v>1</v>
      </c>
      <c r="H32" s="12" t="s">
        <v>214</v>
      </c>
      <c r="I32" s="45">
        <v>43466</v>
      </c>
      <c r="J32" s="45">
        <v>43448</v>
      </c>
      <c r="K32" s="45">
        <v>43454</v>
      </c>
      <c r="L32" s="12" t="s">
        <v>91</v>
      </c>
      <c r="M32" s="12" t="s">
        <v>60</v>
      </c>
      <c r="N32" s="12"/>
      <c r="O32" s="12"/>
      <c r="P32" s="12"/>
      <c r="Q32" s="12"/>
    </row>
    <row r="33" spans="1:17" ht="39" customHeight="1" x14ac:dyDescent="0.25">
      <c r="A33" s="12" t="s">
        <v>288</v>
      </c>
      <c r="B33" s="12" t="s">
        <v>132</v>
      </c>
      <c r="C33" s="12" t="s">
        <v>133</v>
      </c>
      <c r="D33" s="12" t="s">
        <v>55</v>
      </c>
      <c r="E33" s="12" t="s">
        <v>212</v>
      </c>
      <c r="F33" s="12" t="s">
        <v>286</v>
      </c>
      <c r="G33" s="12">
        <v>1</v>
      </c>
      <c r="H33" s="12" t="s">
        <v>214</v>
      </c>
      <c r="I33" s="45">
        <v>43831</v>
      </c>
      <c r="J33" s="45">
        <v>43445</v>
      </c>
      <c r="K33" s="45">
        <v>43451</v>
      </c>
      <c r="L33" s="12" t="s">
        <v>91</v>
      </c>
      <c r="M33" s="12" t="s">
        <v>60</v>
      </c>
      <c r="N33" s="12"/>
      <c r="O33" s="12"/>
      <c r="P33" s="12" t="s">
        <v>289</v>
      </c>
      <c r="Q33" s="12"/>
    </row>
    <row r="34" spans="1:17" ht="39" customHeight="1" x14ac:dyDescent="0.25">
      <c r="A34" s="12" t="s">
        <v>302</v>
      </c>
      <c r="B34" s="12" t="s">
        <v>163</v>
      </c>
      <c r="C34" s="12" t="s">
        <v>164</v>
      </c>
      <c r="D34" s="12" t="s">
        <v>55</v>
      </c>
      <c r="E34" s="12" t="s">
        <v>212</v>
      </c>
      <c r="F34" s="12" t="s">
        <v>303</v>
      </c>
      <c r="G34" s="12">
        <v>1</v>
      </c>
      <c r="H34" s="12" t="s">
        <v>214</v>
      </c>
      <c r="I34" s="45">
        <v>43489</v>
      </c>
      <c r="J34" s="45">
        <v>43489</v>
      </c>
      <c r="K34" s="45">
        <v>43483</v>
      </c>
      <c r="L34" s="12" t="s">
        <v>91</v>
      </c>
      <c r="M34" s="12" t="s">
        <v>60</v>
      </c>
      <c r="N34" s="12"/>
      <c r="O34" s="12"/>
      <c r="P34" s="12"/>
      <c r="Q34" s="12"/>
    </row>
    <row r="35" spans="1:17" ht="39" customHeight="1" x14ac:dyDescent="0.25">
      <c r="A35" s="12" t="s">
        <v>345</v>
      </c>
      <c r="B35" s="12" t="s">
        <v>194</v>
      </c>
      <c r="C35" s="12" t="s">
        <v>195</v>
      </c>
      <c r="D35" s="12" t="s">
        <v>55</v>
      </c>
      <c r="E35" s="12" t="s">
        <v>212</v>
      </c>
      <c r="F35" s="12" t="s">
        <v>346</v>
      </c>
      <c r="G35" s="12">
        <v>1</v>
      </c>
      <c r="H35" s="12" t="s">
        <v>214</v>
      </c>
      <c r="I35" s="45">
        <v>43831</v>
      </c>
      <c r="J35" s="45">
        <v>43424</v>
      </c>
      <c r="K35" s="45">
        <v>43392</v>
      </c>
      <c r="L35" s="12" t="s">
        <v>91</v>
      </c>
      <c r="M35" s="12" t="s">
        <v>60</v>
      </c>
      <c r="N35" s="12"/>
      <c r="O35" s="12"/>
      <c r="P35" s="12" t="s">
        <v>347</v>
      </c>
      <c r="Q35" s="12"/>
    </row>
    <row r="36" spans="1:17" ht="26.1" customHeight="1" x14ac:dyDescent="0.25">
      <c r="A36" s="12" t="s">
        <v>365</v>
      </c>
      <c r="B36" s="12" t="s">
        <v>200</v>
      </c>
      <c r="C36" s="12" t="s">
        <v>203</v>
      </c>
      <c r="D36" s="12" t="s">
        <v>55</v>
      </c>
      <c r="E36" s="12" t="s">
        <v>212</v>
      </c>
      <c r="F36" s="12" t="s">
        <v>243</v>
      </c>
      <c r="G36" s="12">
        <v>3</v>
      </c>
      <c r="H36" s="12" t="s">
        <v>214</v>
      </c>
      <c r="I36" s="45">
        <v>43831</v>
      </c>
      <c r="J36" s="45">
        <v>43426</v>
      </c>
      <c r="K36" s="45">
        <v>43433</v>
      </c>
      <c r="L36" s="12" t="s">
        <v>91</v>
      </c>
      <c r="M36" s="12" t="s">
        <v>60</v>
      </c>
      <c r="N36" s="12"/>
      <c r="O36" s="12"/>
      <c r="P36" s="12" t="s">
        <v>363</v>
      </c>
      <c r="Q36" s="12"/>
    </row>
    <row r="37" spans="1:17" ht="26.1" customHeight="1" x14ac:dyDescent="0.25">
      <c r="A37" s="12" t="s">
        <v>235</v>
      </c>
      <c r="B37" s="12" t="s">
        <v>109</v>
      </c>
      <c r="C37" s="12" t="s">
        <v>219</v>
      </c>
      <c r="D37" s="12" t="s">
        <v>236</v>
      </c>
      <c r="E37" s="12" t="s">
        <v>212</v>
      </c>
      <c r="F37" s="12" t="s">
        <v>237</v>
      </c>
      <c r="G37" s="12">
        <v>4</v>
      </c>
      <c r="H37" s="12" t="s">
        <v>214</v>
      </c>
      <c r="I37" s="45">
        <v>44198</v>
      </c>
      <c r="J37" s="45">
        <v>43773</v>
      </c>
      <c r="K37" s="45">
        <v>43791</v>
      </c>
      <c r="L37" s="12" t="s">
        <v>91</v>
      </c>
      <c r="M37" s="12" t="s">
        <v>60</v>
      </c>
      <c r="N37" s="12"/>
      <c r="O37" s="12"/>
      <c r="P37" s="12" t="s">
        <v>238</v>
      </c>
      <c r="Q37" s="12"/>
    </row>
    <row r="38" spans="1:17" ht="26.1" customHeight="1" x14ac:dyDescent="0.25">
      <c r="A38" s="12" t="s">
        <v>261</v>
      </c>
      <c r="B38" s="12" t="s">
        <v>112</v>
      </c>
      <c r="C38" s="12" t="s">
        <v>113</v>
      </c>
      <c r="D38" s="12" t="s">
        <v>236</v>
      </c>
      <c r="E38" s="12" t="s">
        <v>212</v>
      </c>
      <c r="F38" s="12" t="s">
        <v>258</v>
      </c>
      <c r="G38" s="12">
        <v>1</v>
      </c>
      <c r="H38" s="12" t="s">
        <v>214</v>
      </c>
      <c r="I38" s="45">
        <v>44197</v>
      </c>
      <c r="J38" s="45">
        <v>43812</v>
      </c>
      <c r="K38" s="45">
        <v>43812</v>
      </c>
      <c r="L38" s="12" t="s">
        <v>91</v>
      </c>
      <c r="M38" s="12" t="s">
        <v>60</v>
      </c>
      <c r="N38" s="12"/>
      <c r="O38" s="12"/>
      <c r="P38" s="12"/>
      <c r="Q38" s="12"/>
    </row>
    <row r="39" spans="1:17" ht="39" customHeight="1" x14ac:dyDescent="0.25">
      <c r="A39" s="12" t="s">
        <v>285</v>
      </c>
      <c r="B39" s="12" t="s">
        <v>132</v>
      </c>
      <c r="C39" s="12" t="s">
        <v>133</v>
      </c>
      <c r="D39" s="12" t="s">
        <v>236</v>
      </c>
      <c r="E39" s="12" t="s">
        <v>212</v>
      </c>
      <c r="F39" s="12" t="s">
        <v>286</v>
      </c>
      <c r="G39" s="12">
        <v>1</v>
      </c>
      <c r="H39" s="12" t="s">
        <v>214</v>
      </c>
      <c r="I39" s="45">
        <v>44197</v>
      </c>
      <c r="J39" s="45">
        <v>43809</v>
      </c>
      <c r="K39" s="45">
        <v>43846</v>
      </c>
      <c r="L39" s="12" t="s">
        <v>91</v>
      </c>
      <c r="M39" s="12" t="s">
        <v>60</v>
      </c>
      <c r="N39" s="12"/>
      <c r="O39" s="12"/>
      <c r="P39" s="12" t="s">
        <v>287</v>
      </c>
      <c r="Q39" s="12"/>
    </row>
    <row r="40" spans="1:17" ht="39" customHeight="1" x14ac:dyDescent="0.25">
      <c r="A40" s="12" t="s">
        <v>300</v>
      </c>
      <c r="B40" s="12" t="s">
        <v>163</v>
      </c>
      <c r="C40" s="12" t="s">
        <v>164</v>
      </c>
      <c r="D40" s="12" t="s">
        <v>236</v>
      </c>
      <c r="E40" s="12" t="s">
        <v>212</v>
      </c>
      <c r="F40" s="12" t="s">
        <v>301</v>
      </c>
      <c r="G40" s="12">
        <v>1</v>
      </c>
      <c r="H40" s="12" t="s">
        <v>214</v>
      </c>
      <c r="I40" s="45">
        <v>44197</v>
      </c>
      <c r="J40" s="45">
        <v>43811</v>
      </c>
      <c r="K40" s="45">
        <v>43815</v>
      </c>
      <c r="L40" s="12" t="s">
        <v>91</v>
      </c>
      <c r="M40" s="12" t="s">
        <v>60</v>
      </c>
      <c r="N40" s="12"/>
      <c r="O40" s="12"/>
      <c r="P40" s="12"/>
      <c r="Q40" s="12"/>
    </row>
    <row r="41" spans="1:17" ht="26.1" customHeight="1" x14ac:dyDescent="0.25">
      <c r="A41" s="12" t="s">
        <v>336</v>
      </c>
      <c r="B41" s="12" t="s">
        <v>194</v>
      </c>
      <c r="C41" s="12" t="s">
        <v>195</v>
      </c>
      <c r="D41" s="12" t="s">
        <v>236</v>
      </c>
      <c r="E41" s="12" t="s">
        <v>212</v>
      </c>
      <c r="F41" s="12" t="s">
        <v>337</v>
      </c>
      <c r="G41" s="12">
        <v>1</v>
      </c>
      <c r="H41" s="12" t="s">
        <v>214</v>
      </c>
      <c r="I41" s="45">
        <v>44197</v>
      </c>
      <c r="J41" s="45">
        <v>43787</v>
      </c>
      <c r="K41" s="45">
        <v>43755</v>
      </c>
      <c r="L41" s="12" t="s">
        <v>91</v>
      </c>
      <c r="M41" s="12" t="s">
        <v>60</v>
      </c>
      <c r="N41" s="12"/>
      <c r="O41" s="12"/>
      <c r="P41" s="12" t="s">
        <v>338</v>
      </c>
      <c r="Q41" s="12"/>
    </row>
    <row r="42" spans="1:17" ht="26.1" customHeight="1" x14ac:dyDescent="0.25">
      <c r="A42" s="12" t="s">
        <v>366</v>
      </c>
      <c r="B42" s="12" t="s">
        <v>200</v>
      </c>
      <c r="C42" s="12" t="s">
        <v>203</v>
      </c>
      <c r="D42" s="12" t="s">
        <v>236</v>
      </c>
      <c r="E42" s="12" t="s">
        <v>212</v>
      </c>
      <c r="F42" s="12" t="s">
        <v>243</v>
      </c>
      <c r="G42" s="12">
        <v>3</v>
      </c>
      <c r="H42" s="12" t="s">
        <v>214</v>
      </c>
      <c r="I42" s="45">
        <v>44197</v>
      </c>
      <c r="J42" s="45">
        <v>43796</v>
      </c>
      <c r="K42" s="45">
        <v>43798</v>
      </c>
      <c r="L42" s="12" t="s">
        <v>91</v>
      </c>
      <c r="M42" s="12" t="s">
        <v>60</v>
      </c>
      <c r="N42" s="12"/>
      <c r="O42" s="12"/>
      <c r="P42" s="12" t="s">
        <v>363</v>
      </c>
      <c r="Q42" s="12"/>
    </row>
    <row r="43" spans="1:17" ht="26.1" customHeight="1" x14ac:dyDescent="0.25">
      <c r="A43" s="12" t="s">
        <v>231</v>
      </c>
      <c r="B43" s="12" t="s">
        <v>109</v>
      </c>
      <c r="C43" s="12" t="s">
        <v>219</v>
      </c>
      <c r="D43" s="12" t="s">
        <v>232</v>
      </c>
      <c r="E43" s="12" t="s">
        <v>212</v>
      </c>
      <c r="F43" s="12" t="s">
        <v>233</v>
      </c>
      <c r="G43" s="12">
        <v>4</v>
      </c>
      <c r="H43" s="12" t="s">
        <v>214</v>
      </c>
      <c r="I43" s="45">
        <v>44562</v>
      </c>
      <c r="J43" s="45">
        <v>44111</v>
      </c>
      <c r="K43" s="45">
        <v>44139</v>
      </c>
      <c r="L43" s="12" t="s">
        <v>91</v>
      </c>
      <c r="M43" s="12" t="s">
        <v>60</v>
      </c>
      <c r="N43" s="12"/>
      <c r="O43" s="12"/>
      <c r="P43" s="12" t="s">
        <v>234</v>
      </c>
      <c r="Q43" s="12"/>
    </row>
    <row r="44" spans="1:17" ht="26.1" customHeight="1" x14ac:dyDescent="0.25">
      <c r="A44" s="12" t="s">
        <v>262</v>
      </c>
      <c r="B44" s="12" t="s">
        <v>112</v>
      </c>
      <c r="C44" s="12" t="s">
        <v>113</v>
      </c>
      <c r="D44" s="12" t="s">
        <v>232</v>
      </c>
      <c r="E44" s="12" t="s">
        <v>212</v>
      </c>
      <c r="F44" s="12" t="s">
        <v>263</v>
      </c>
      <c r="G44" s="12">
        <v>1</v>
      </c>
      <c r="H44" s="12" t="s">
        <v>214</v>
      </c>
      <c r="I44" s="45">
        <v>44562</v>
      </c>
      <c r="J44" s="45">
        <v>44166</v>
      </c>
      <c r="K44" s="45">
        <v>44166</v>
      </c>
      <c r="L44" s="12" t="s">
        <v>91</v>
      </c>
      <c r="M44" s="12" t="s">
        <v>60</v>
      </c>
      <c r="N44" s="12"/>
      <c r="O44" s="12"/>
      <c r="P44" s="12" t="s">
        <v>264</v>
      </c>
      <c r="Q44" s="12"/>
    </row>
    <row r="45" spans="1:17" ht="26.1" customHeight="1" x14ac:dyDescent="0.25">
      <c r="A45" s="12" t="s">
        <v>275</v>
      </c>
      <c r="B45" s="12" t="s">
        <v>132</v>
      </c>
      <c r="C45" s="12" t="s">
        <v>133</v>
      </c>
      <c r="D45" s="12" t="s">
        <v>232</v>
      </c>
      <c r="E45" s="12" t="s">
        <v>212</v>
      </c>
      <c r="F45" s="12" t="s">
        <v>276</v>
      </c>
      <c r="G45" s="12">
        <v>1</v>
      </c>
      <c r="H45" s="12" t="s">
        <v>214</v>
      </c>
      <c r="I45" s="45">
        <v>44562</v>
      </c>
      <c r="J45" s="45">
        <v>44166</v>
      </c>
      <c r="K45" s="45">
        <v>44168</v>
      </c>
      <c r="L45" s="12" t="s">
        <v>91</v>
      </c>
      <c r="M45" s="12" t="s">
        <v>60</v>
      </c>
      <c r="N45" s="12"/>
      <c r="O45" s="12"/>
      <c r="P45" s="12" t="s">
        <v>277</v>
      </c>
      <c r="Q45" s="12"/>
    </row>
    <row r="46" spans="1:17" ht="26.1" customHeight="1" x14ac:dyDescent="0.25">
      <c r="A46" s="12" t="s">
        <v>297</v>
      </c>
      <c r="B46" s="12" t="s">
        <v>163</v>
      </c>
      <c r="C46" s="12" t="s">
        <v>164</v>
      </c>
      <c r="D46" s="12" t="s">
        <v>232</v>
      </c>
      <c r="E46" s="12" t="s">
        <v>212</v>
      </c>
      <c r="F46" s="12" t="s">
        <v>298</v>
      </c>
      <c r="G46" s="12">
        <v>1</v>
      </c>
      <c r="H46" s="12" t="s">
        <v>214</v>
      </c>
      <c r="I46" s="45">
        <v>44562</v>
      </c>
      <c r="J46" s="45">
        <v>44176</v>
      </c>
      <c r="K46" s="45">
        <v>44147</v>
      </c>
      <c r="L46" s="12" t="s">
        <v>91</v>
      </c>
      <c r="M46" s="12" t="s">
        <v>60</v>
      </c>
      <c r="N46" s="12"/>
      <c r="O46" s="12"/>
      <c r="P46" s="12" t="s">
        <v>299</v>
      </c>
      <c r="Q46" s="12"/>
    </row>
    <row r="47" spans="1:17" ht="26.1" customHeight="1" x14ac:dyDescent="0.25">
      <c r="A47" s="12" t="s">
        <v>333</v>
      </c>
      <c r="B47" s="12" t="s">
        <v>194</v>
      </c>
      <c r="C47" s="12" t="s">
        <v>195</v>
      </c>
      <c r="D47" s="12" t="s">
        <v>232</v>
      </c>
      <c r="E47" s="12" t="s">
        <v>212</v>
      </c>
      <c r="F47" s="12" t="s">
        <v>334</v>
      </c>
      <c r="G47" s="12">
        <v>1</v>
      </c>
      <c r="H47" s="12" t="s">
        <v>214</v>
      </c>
      <c r="I47" s="45">
        <v>44562</v>
      </c>
      <c r="J47" s="45">
        <v>44154</v>
      </c>
      <c r="K47" s="45">
        <v>44126</v>
      </c>
      <c r="L47" s="12" t="s">
        <v>91</v>
      </c>
      <c r="M47" s="12" t="s">
        <v>60</v>
      </c>
      <c r="N47" s="12"/>
      <c r="O47" s="12"/>
      <c r="P47" s="12" t="s">
        <v>335</v>
      </c>
      <c r="Q47" s="12"/>
    </row>
    <row r="48" spans="1:17" ht="26.1" customHeight="1" x14ac:dyDescent="0.25">
      <c r="A48" s="12" t="s">
        <v>356</v>
      </c>
      <c r="B48" s="12" t="s">
        <v>200</v>
      </c>
      <c r="C48" s="12" t="s">
        <v>203</v>
      </c>
      <c r="D48" s="12" t="s">
        <v>232</v>
      </c>
      <c r="E48" s="12" t="s">
        <v>212</v>
      </c>
      <c r="F48" s="12" t="s">
        <v>357</v>
      </c>
      <c r="G48" s="12">
        <v>3</v>
      </c>
      <c r="H48" s="12" t="s">
        <v>214</v>
      </c>
      <c r="I48" s="45">
        <v>44562</v>
      </c>
      <c r="J48" s="45">
        <v>44144</v>
      </c>
      <c r="K48" s="45">
        <v>44162</v>
      </c>
      <c r="L48" s="12" t="s">
        <v>91</v>
      </c>
      <c r="M48" s="12" t="s">
        <v>60</v>
      </c>
      <c r="N48" s="12"/>
      <c r="O48" s="12"/>
      <c r="P48" s="12" t="s">
        <v>358</v>
      </c>
      <c r="Q48" s="12"/>
    </row>
    <row r="49" spans="1:17" ht="26.1" customHeight="1" x14ac:dyDescent="0.25">
      <c r="A49" s="12" t="s">
        <v>227</v>
      </c>
      <c r="B49" s="12" t="s">
        <v>109</v>
      </c>
      <c r="C49" s="12" t="s">
        <v>219</v>
      </c>
      <c r="D49" s="12" t="s">
        <v>228</v>
      </c>
      <c r="E49" s="12" t="s">
        <v>212</v>
      </c>
      <c r="F49" s="12" t="s">
        <v>229</v>
      </c>
      <c r="G49" s="12">
        <v>4</v>
      </c>
      <c r="H49" s="12" t="s">
        <v>214</v>
      </c>
      <c r="I49" s="45">
        <v>44927</v>
      </c>
      <c r="J49" s="45">
        <v>44519</v>
      </c>
      <c r="K49" s="45">
        <v>44524</v>
      </c>
      <c r="L49" s="12" t="s">
        <v>91</v>
      </c>
      <c r="M49" s="12" t="s">
        <v>60</v>
      </c>
      <c r="N49" s="12"/>
      <c r="O49" s="12"/>
      <c r="P49" s="12" t="s">
        <v>230</v>
      </c>
      <c r="Q49" s="12"/>
    </row>
    <row r="50" spans="1:17" ht="51.95" customHeight="1" x14ac:dyDescent="0.25">
      <c r="A50" s="12" t="s">
        <v>269</v>
      </c>
      <c r="B50" s="12" t="s">
        <v>112</v>
      </c>
      <c r="C50" s="12" t="s">
        <v>113</v>
      </c>
      <c r="D50" s="12" t="s">
        <v>228</v>
      </c>
      <c r="E50" s="12" t="s">
        <v>212</v>
      </c>
      <c r="F50" s="12" t="s">
        <v>270</v>
      </c>
      <c r="G50" s="12">
        <v>1</v>
      </c>
      <c r="H50" s="12" t="s">
        <v>214</v>
      </c>
      <c r="I50" s="45">
        <v>44927</v>
      </c>
      <c r="J50" s="45">
        <v>44494</v>
      </c>
      <c r="K50" s="45">
        <v>44494</v>
      </c>
      <c r="L50" s="12" t="s">
        <v>91</v>
      </c>
      <c r="M50" s="12" t="s">
        <v>60</v>
      </c>
      <c r="N50" s="12"/>
      <c r="O50" s="12"/>
      <c r="P50" s="12" t="s">
        <v>271</v>
      </c>
      <c r="Q50" s="12"/>
    </row>
    <row r="51" spans="1:17" ht="51.95" customHeight="1" x14ac:dyDescent="0.25">
      <c r="A51" s="12" t="s">
        <v>278</v>
      </c>
      <c r="B51" s="12" t="s">
        <v>132</v>
      </c>
      <c r="C51" s="12" t="s">
        <v>133</v>
      </c>
      <c r="D51" s="12" t="s">
        <v>228</v>
      </c>
      <c r="E51" s="12" t="s">
        <v>212</v>
      </c>
      <c r="F51" s="12" t="s">
        <v>279</v>
      </c>
      <c r="G51" s="12">
        <v>1</v>
      </c>
      <c r="H51" s="12" t="s">
        <v>214</v>
      </c>
      <c r="I51" s="45">
        <v>44927</v>
      </c>
      <c r="J51" s="45">
        <v>44537</v>
      </c>
      <c r="K51" s="45">
        <v>44539</v>
      </c>
      <c r="L51" s="12" t="s">
        <v>91</v>
      </c>
      <c r="M51" s="12" t="s">
        <v>60</v>
      </c>
      <c r="N51" s="12"/>
      <c r="O51" s="12"/>
      <c r="P51" s="12"/>
      <c r="Q51" s="12"/>
    </row>
    <row r="52" spans="1:17" ht="39" customHeight="1" x14ac:dyDescent="0.25">
      <c r="A52" s="12" t="s">
        <v>314</v>
      </c>
      <c r="B52" s="12" t="s">
        <v>163</v>
      </c>
      <c r="C52" s="12" t="s">
        <v>164</v>
      </c>
      <c r="D52" s="12" t="s">
        <v>228</v>
      </c>
      <c r="E52" s="12" t="s">
        <v>212</v>
      </c>
      <c r="F52" s="12" t="s">
        <v>313</v>
      </c>
      <c r="G52" s="12">
        <v>1</v>
      </c>
      <c r="H52" s="12" t="s">
        <v>214</v>
      </c>
      <c r="I52" s="45">
        <v>44927</v>
      </c>
      <c r="J52" s="45">
        <v>44526</v>
      </c>
      <c r="K52" s="45">
        <v>44526</v>
      </c>
      <c r="L52" s="12" t="s">
        <v>91</v>
      </c>
      <c r="M52" s="12" t="s">
        <v>60</v>
      </c>
      <c r="N52" s="12"/>
      <c r="O52" s="12"/>
      <c r="P52" s="12"/>
      <c r="Q52" s="12"/>
    </row>
    <row r="53" spans="1:17" ht="39" customHeight="1" x14ac:dyDescent="0.25">
      <c r="A53" s="12" t="s">
        <v>327</v>
      </c>
      <c r="B53" s="12" t="s">
        <v>194</v>
      </c>
      <c r="C53" s="12" t="s">
        <v>195</v>
      </c>
      <c r="D53" s="12" t="s">
        <v>228</v>
      </c>
      <c r="E53" s="12" t="s">
        <v>212</v>
      </c>
      <c r="F53" s="12" t="s">
        <v>328</v>
      </c>
      <c r="G53" s="12">
        <v>1</v>
      </c>
      <c r="H53" s="12" t="s">
        <v>214</v>
      </c>
      <c r="I53" s="45">
        <v>44927</v>
      </c>
      <c r="J53" s="45">
        <v>44547</v>
      </c>
      <c r="K53" s="45">
        <v>44533</v>
      </c>
      <c r="L53" s="12" t="s">
        <v>91</v>
      </c>
      <c r="M53" s="12" t="s">
        <v>60</v>
      </c>
      <c r="N53" s="12"/>
      <c r="O53" s="12"/>
      <c r="P53" s="12" t="s">
        <v>329</v>
      </c>
      <c r="Q53" s="12"/>
    </row>
    <row r="54" spans="1:17" ht="26.1" customHeight="1" x14ac:dyDescent="0.25">
      <c r="A54" s="12" t="s">
        <v>223</v>
      </c>
      <c r="B54" s="12" t="s">
        <v>109</v>
      </c>
      <c r="C54" s="12" t="s">
        <v>219</v>
      </c>
      <c r="D54" s="12" t="s">
        <v>224</v>
      </c>
      <c r="E54" s="12" t="s">
        <v>212</v>
      </c>
      <c r="F54" s="12" t="s">
        <v>225</v>
      </c>
      <c r="G54" s="12">
        <v>4</v>
      </c>
      <c r="H54" s="12" t="s">
        <v>214</v>
      </c>
      <c r="I54" s="45">
        <v>45292</v>
      </c>
      <c r="J54" s="45">
        <v>44844</v>
      </c>
      <c r="K54" s="45">
        <v>44887</v>
      </c>
      <c r="L54" s="12" t="s">
        <v>91</v>
      </c>
      <c r="M54" s="12" t="s">
        <v>60</v>
      </c>
      <c r="N54" s="12"/>
      <c r="O54" s="12"/>
      <c r="P54" s="12" t="s">
        <v>226</v>
      </c>
      <c r="Q54" s="12"/>
    </row>
    <row r="55" spans="1:17" ht="26.1" customHeight="1" x14ac:dyDescent="0.25">
      <c r="A55" s="12" t="s">
        <v>268</v>
      </c>
      <c r="B55" s="12" t="s">
        <v>112</v>
      </c>
      <c r="C55" s="12" t="s">
        <v>113</v>
      </c>
      <c r="D55" s="12" t="s">
        <v>224</v>
      </c>
      <c r="E55" s="12" t="s">
        <v>212</v>
      </c>
      <c r="F55" s="12" t="s">
        <v>266</v>
      </c>
      <c r="G55" s="12">
        <v>1</v>
      </c>
      <c r="H55" s="12" t="s">
        <v>214</v>
      </c>
      <c r="I55" s="45">
        <v>45292</v>
      </c>
      <c r="J55" s="45">
        <v>44883</v>
      </c>
      <c r="K55" s="45">
        <v>44869</v>
      </c>
      <c r="L55" s="12" t="s">
        <v>91</v>
      </c>
      <c r="M55" s="12" t="s">
        <v>60</v>
      </c>
      <c r="N55" s="12"/>
      <c r="O55" s="12"/>
      <c r="P55" s="12"/>
      <c r="Q55" s="12"/>
    </row>
    <row r="56" spans="1:17" ht="26.1" customHeight="1" x14ac:dyDescent="0.25">
      <c r="A56" s="12" t="s">
        <v>280</v>
      </c>
      <c r="B56" s="12" t="s">
        <v>132</v>
      </c>
      <c r="C56" s="12" t="s">
        <v>133</v>
      </c>
      <c r="D56" s="12" t="s">
        <v>224</v>
      </c>
      <c r="E56" s="12" t="s">
        <v>212</v>
      </c>
      <c r="F56" s="12" t="s">
        <v>281</v>
      </c>
      <c r="G56" s="12">
        <v>1</v>
      </c>
      <c r="H56" s="12" t="s">
        <v>214</v>
      </c>
      <c r="I56" s="45">
        <v>45292</v>
      </c>
      <c r="J56" s="45">
        <v>44901</v>
      </c>
      <c r="K56" s="45">
        <v>44902</v>
      </c>
      <c r="L56" s="12" t="s">
        <v>91</v>
      </c>
      <c r="M56" s="12" t="s">
        <v>215</v>
      </c>
      <c r="N56" s="12" t="s">
        <v>282</v>
      </c>
      <c r="O56" s="12" t="s">
        <v>283</v>
      </c>
      <c r="P56" s="12" t="s">
        <v>284</v>
      </c>
      <c r="Q56" s="12"/>
    </row>
    <row r="57" spans="1:17" ht="26.1" customHeight="1" x14ac:dyDescent="0.25">
      <c r="A57" s="12" t="s">
        <v>312</v>
      </c>
      <c r="B57" s="12" t="s">
        <v>163</v>
      </c>
      <c r="C57" s="12" t="s">
        <v>164</v>
      </c>
      <c r="D57" s="12" t="s">
        <v>224</v>
      </c>
      <c r="E57" s="12" t="s">
        <v>212</v>
      </c>
      <c r="F57" s="12" t="s">
        <v>313</v>
      </c>
      <c r="G57" s="12">
        <v>1</v>
      </c>
      <c r="H57" s="12" t="s">
        <v>214</v>
      </c>
      <c r="I57" s="45">
        <v>45292</v>
      </c>
      <c r="J57" s="45">
        <v>44879</v>
      </c>
      <c r="K57" s="45">
        <v>44880</v>
      </c>
      <c r="L57" s="12" t="s">
        <v>91</v>
      </c>
      <c r="M57" s="12" t="s">
        <v>60</v>
      </c>
      <c r="N57" s="12"/>
      <c r="O57" s="12"/>
      <c r="P57" s="12"/>
      <c r="Q57" s="12"/>
    </row>
    <row r="58" spans="1:17" ht="39" customHeight="1" x14ac:dyDescent="0.25">
      <c r="A58" s="12" t="s">
        <v>324</v>
      </c>
      <c r="B58" s="12" t="s">
        <v>194</v>
      </c>
      <c r="C58" s="12" t="s">
        <v>195</v>
      </c>
      <c r="D58" s="12" t="s">
        <v>224</v>
      </c>
      <c r="E58" s="12" t="s">
        <v>212</v>
      </c>
      <c r="F58" s="12" t="s">
        <v>325</v>
      </c>
      <c r="G58" s="12">
        <v>1</v>
      </c>
      <c r="H58" s="12" t="s">
        <v>214</v>
      </c>
      <c r="I58" s="45">
        <v>45292</v>
      </c>
      <c r="J58" s="45">
        <v>44907</v>
      </c>
      <c r="K58" s="45">
        <v>44893</v>
      </c>
      <c r="L58" s="12" t="s">
        <v>91</v>
      </c>
      <c r="M58" s="12" t="s">
        <v>60</v>
      </c>
      <c r="N58" s="12"/>
      <c r="O58" s="12"/>
      <c r="P58" s="12" t="s">
        <v>326</v>
      </c>
      <c r="Q58" s="12"/>
    </row>
    <row r="59" spans="1:17" ht="45" x14ac:dyDescent="0.25">
      <c r="A59" s="12" t="s">
        <v>218</v>
      </c>
      <c r="B59" s="12" t="s">
        <v>109</v>
      </c>
      <c r="C59" s="12" t="s">
        <v>219</v>
      </c>
      <c r="D59" s="12" t="s">
        <v>220</v>
      </c>
      <c r="E59" s="12" t="s">
        <v>212</v>
      </c>
      <c r="F59" s="12" t="s">
        <v>221</v>
      </c>
      <c r="G59" s="12">
        <v>4</v>
      </c>
      <c r="H59" s="12" t="s">
        <v>214</v>
      </c>
      <c r="I59" s="45">
        <v>45658</v>
      </c>
      <c r="J59" s="45">
        <v>45216</v>
      </c>
      <c r="K59" s="45">
        <v>45261</v>
      </c>
      <c r="L59" s="12" t="s">
        <v>59</v>
      </c>
      <c r="M59" s="12" t="s">
        <v>60</v>
      </c>
      <c r="N59" s="12"/>
      <c r="O59" s="12"/>
      <c r="P59" s="12" t="s">
        <v>222</v>
      </c>
      <c r="Q59" s="12"/>
    </row>
    <row r="60" spans="1:17" ht="75" x14ac:dyDescent="0.25">
      <c r="A60" s="12" t="s">
        <v>267</v>
      </c>
      <c r="B60" s="12" t="s">
        <v>112</v>
      </c>
      <c r="C60" s="12" t="s">
        <v>113</v>
      </c>
      <c r="D60" s="12" t="s">
        <v>220</v>
      </c>
      <c r="E60" s="12" t="s">
        <v>212</v>
      </c>
      <c r="F60" s="12" t="s">
        <v>266</v>
      </c>
      <c r="G60" s="12">
        <v>1</v>
      </c>
      <c r="H60" s="12" t="s">
        <v>214</v>
      </c>
      <c r="I60" s="45">
        <v>45658</v>
      </c>
      <c r="J60" s="45">
        <v>45257</v>
      </c>
      <c r="K60" s="45">
        <v>45243</v>
      </c>
      <c r="L60" s="12" t="s">
        <v>59</v>
      </c>
      <c r="M60" s="12" t="s">
        <v>60</v>
      </c>
      <c r="N60" s="12"/>
      <c r="O60" s="12"/>
      <c r="P60" s="12"/>
      <c r="Q60" s="12"/>
    </row>
    <row r="61" spans="1:17" ht="45" x14ac:dyDescent="0.25">
      <c r="A61" s="12" t="s">
        <v>310</v>
      </c>
      <c r="B61" s="12" t="s">
        <v>163</v>
      </c>
      <c r="C61" s="12" t="s">
        <v>164</v>
      </c>
      <c r="D61" s="12" t="s">
        <v>220</v>
      </c>
      <c r="E61" s="12" t="s">
        <v>212</v>
      </c>
      <c r="F61" s="12" t="s">
        <v>311</v>
      </c>
      <c r="G61" s="12">
        <v>1</v>
      </c>
      <c r="H61" s="12" t="s">
        <v>214</v>
      </c>
      <c r="I61" s="45">
        <v>45658</v>
      </c>
      <c r="J61" s="45">
        <v>45237</v>
      </c>
      <c r="K61" s="45">
        <v>45237</v>
      </c>
      <c r="L61" s="12" t="s">
        <v>59</v>
      </c>
      <c r="M61" s="12" t="s">
        <v>60</v>
      </c>
      <c r="N61" s="12"/>
      <c r="O61" s="12"/>
      <c r="P61" s="12"/>
      <c r="Q61" s="12"/>
    </row>
    <row r="62" spans="1:17" ht="30" x14ac:dyDescent="0.25">
      <c r="A62" s="12" t="s">
        <v>321</v>
      </c>
      <c r="B62" s="12" t="s">
        <v>194</v>
      </c>
      <c r="C62" s="12" t="s">
        <v>195</v>
      </c>
      <c r="D62" s="12" t="s">
        <v>220</v>
      </c>
      <c r="E62" s="12" t="s">
        <v>212</v>
      </c>
      <c r="F62" s="12" t="s">
        <v>322</v>
      </c>
      <c r="G62" s="12">
        <v>1</v>
      </c>
      <c r="H62" s="12" t="s">
        <v>214</v>
      </c>
      <c r="I62" s="45">
        <v>45658</v>
      </c>
      <c r="J62" s="45">
        <v>45271</v>
      </c>
      <c r="K62" s="45">
        <v>45257</v>
      </c>
      <c r="L62" s="12" t="s">
        <v>59</v>
      </c>
      <c r="M62" s="12" t="s">
        <v>60</v>
      </c>
      <c r="N62" s="12"/>
      <c r="O62" s="12"/>
      <c r="P62" s="12" t="s">
        <v>323</v>
      </c>
      <c r="Q62" s="12"/>
    </row>
    <row r="63" spans="1:17" ht="45" x14ac:dyDescent="0.25">
      <c r="A63" s="12" t="s">
        <v>251</v>
      </c>
      <c r="B63" s="12" t="s">
        <v>109</v>
      </c>
      <c r="C63" s="12" t="s">
        <v>219</v>
      </c>
      <c r="D63" s="12" t="s">
        <v>252</v>
      </c>
      <c r="E63" s="12" t="s">
        <v>212</v>
      </c>
      <c r="F63" s="12" t="s">
        <v>221</v>
      </c>
      <c r="G63" s="12">
        <v>4</v>
      </c>
      <c r="H63" s="12" t="s">
        <v>214</v>
      </c>
      <c r="I63" s="45">
        <v>46043</v>
      </c>
      <c r="J63" s="45">
        <v>45586</v>
      </c>
      <c r="K63" s="45">
        <v>45625</v>
      </c>
      <c r="L63" s="12" t="s">
        <v>91</v>
      </c>
      <c r="M63" s="12" t="s">
        <v>60</v>
      </c>
      <c r="N63" s="12"/>
      <c r="O63" s="12"/>
      <c r="P63" s="12" t="s">
        <v>222</v>
      </c>
      <c r="Q63" s="12"/>
    </row>
    <row r="64" spans="1:17" ht="75" x14ac:dyDescent="0.25">
      <c r="A64" s="12" t="s">
        <v>265</v>
      </c>
      <c r="B64" s="12" t="s">
        <v>112</v>
      </c>
      <c r="C64" s="12" t="s">
        <v>113</v>
      </c>
      <c r="D64" s="12" t="s">
        <v>252</v>
      </c>
      <c r="E64" s="12" t="s">
        <v>212</v>
      </c>
      <c r="F64" s="12" t="s">
        <v>266</v>
      </c>
      <c r="G64" s="12">
        <v>1</v>
      </c>
      <c r="H64" s="12" t="s">
        <v>214</v>
      </c>
      <c r="I64" s="45">
        <v>46023</v>
      </c>
      <c r="J64" s="45">
        <v>45623</v>
      </c>
      <c r="K64" s="45">
        <v>45589</v>
      </c>
      <c r="L64" s="12" t="s">
        <v>91</v>
      </c>
      <c r="M64" s="12" t="s">
        <v>60</v>
      </c>
      <c r="N64" s="12"/>
      <c r="O64" s="12"/>
      <c r="P64" s="12"/>
      <c r="Q64" s="12"/>
    </row>
    <row r="65" spans="1:17" ht="45" x14ac:dyDescent="0.25">
      <c r="A65" s="12" t="s">
        <v>318</v>
      </c>
      <c r="B65" s="12" t="s">
        <v>194</v>
      </c>
      <c r="C65" s="12" t="s">
        <v>195</v>
      </c>
      <c r="D65" s="12" t="s">
        <v>252</v>
      </c>
      <c r="E65" s="12" t="s">
        <v>212</v>
      </c>
      <c r="F65" s="12" t="s">
        <v>319</v>
      </c>
      <c r="G65" s="12">
        <v>1</v>
      </c>
      <c r="H65" s="12" t="s">
        <v>214</v>
      </c>
      <c r="I65" s="45">
        <v>46023</v>
      </c>
      <c r="J65" s="45">
        <v>45628</v>
      </c>
      <c r="K65" s="45">
        <v>45601</v>
      </c>
      <c r="L65" s="12" t="s">
        <v>91</v>
      </c>
      <c r="M65" s="12" t="s">
        <v>60</v>
      </c>
      <c r="N65" s="12"/>
      <c r="O65" s="12"/>
      <c r="P65" s="12" t="s">
        <v>320</v>
      </c>
      <c r="Q65" s="12"/>
    </row>
  </sheetData>
  <mergeCells count="2">
    <mergeCell ref="I4:K4"/>
    <mergeCell ref="M4:O4"/>
  </mergeCells>
  <hyperlinks>
    <hyperlink ref="A1" location="'Table of Contents'!A1" display="&lt; Table of Contents" xr:uid="{00000000-0004-0000-0300-000000000000}"/>
  </hyperlinks>
  <pageMargins left="0.7" right="0.7" top="0.75" bottom="0.75" header="0.3" footer="0.3"/>
  <pageSetup paperSize="9" scale="56" fitToHeight="0" orientation="landscape"/>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26"/>
  <sheetViews>
    <sheetView topLeftCell="A2" zoomScaleNormal="100" workbookViewId="0">
      <selection activeCell="C169" sqref="C169"/>
    </sheetView>
  </sheetViews>
  <sheetFormatPr defaultColWidth="9.140625" defaultRowHeight="15" x14ac:dyDescent="0.25"/>
  <cols>
    <col min="1" max="1" width="12.5703125" style="17" customWidth="1"/>
    <col min="2" max="2" width="15.5703125" style="17" customWidth="1"/>
    <col min="3" max="3" width="25.5703125" style="17" customWidth="1"/>
    <col min="4" max="5" width="12.5703125" style="17" customWidth="1"/>
    <col min="6" max="6" width="40.5703125" style="17" customWidth="1"/>
    <col min="7" max="7" width="20.5703125" style="17" customWidth="1"/>
    <col min="8" max="8" width="15.5703125" style="17" customWidth="1"/>
    <col min="9" max="11" width="17.5703125" style="23" customWidth="1"/>
    <col min="12" max="12" width="12.5703125" style="17" customWidth="1"/>
    <col min="13" max="15" width="20.5703125" style="23" customWidth="1"/>
    <col min="16" max="16" width="70.5703125" style="17" customWidth="1"/>
    <col min="17" max="17" width="8.85546875" style="1" customWidth="1"/>
    <col min="18" max="18" width="9.140625" style="17" customWidth="1"/>
    <col min="19" max="16384" width="9.140625" style="17"/>
  </cols>
  <sheetData>
    <row r="1" spans="1:17" s="8" customFormat="1" ht="12.95" customHeight="1" x14ac:dyDescent="0.25">
      <c r="A1" s="36" t="s">
        <v>33</v>
      </c>
      <c r="B1" s="12"/>
      <c r="C1" s="12"/>
      <c r="D1" s="12"/>
      <c r="E1" s="12"/>
      <c r="F1" s="12"/>
      <c r="G1" s="12"/>
      <c r="H1" s="12"/>
      <c r="I1" s="37"/>
      <c r="J1" s="37"/>
      <c r="K1" s="37"/>
      <c r="L1" s="12"/>
      <c r="M1" s="38"/>
      <c r="N1" s="38"/>
      <c r="O1" s="38"/>
      <c r="P1" s="12"/>
      <c r="Q1" s="12"/>
    </row>
    <row r="2" spans="1:17" s="8" customFormat="1" ht="12.95" customHeight="1" x14ac:dyDescent="0.25">
      <c r="A2" s="39"/>
      <c r="B2" s="12"/>
      <c r="C2" s="12"/>
      <c r="D2" s="12"/>
      <c r="E2" s="12"/>
      <c r="F2" s="12"/>
      <c r="G2" s="12"/>
      <c r="H2" s="12"/>
      <c r="I2" s="37"/>
      <c r="J2" s="37"/>
      <c r="K2" s="37"/>
      <c r="L2" s="12"/>
      <c r="M2" s="38"/>
      <c r="N2" s="38"/>
      <c r="O2" s="38"/>
      <c r="P2" s="12"/>
      <c r="Q2" s="12"/>
    </row>
    <row r="3" spans="1:17" s="8" customFormat="1" ht="21" customHeight="1" x14ac:dyDescent="0.35">
      <c r="A3" s="40" t="s">
        <v>367</v>
      </c>
      <c r="B3" s="12"/>
      <c r="C3" s="12"/>
      <c r="D3" s="12"/>
      <c r="E3" s="12"/>
      <c r="F3" s="12"/>
      <c r="G3" s="12"/>
      <c r="H3" s="12"/>
      <c r="I3" s="37"/>
      <c r="J3" s="37"/>
      <c r="K3" s="37"/>
      <c r="L3" s="12"/>
      <c r="M3" s="38"/>
      <c r="N3" s="38"/>
      <c r="O3" s="38"/>
      <c r="P3" s="12"/>
      <c r="Q3" s="12"/>
    </row>
    <row r="4" spans="1:17" s="8" customFormat="1" ht="12.95" customHeight="1" x14ac:dyDescent="0.25">
      <c r="A4" s="39"/>
      <c r="B4" s="12"/>
      <c r="C4" s="12"/>
      <c r="D4" s="12"/>
      <c r="E4" s="12"/>
      <c r="F4" s="12"/>
      <c r="G4" s="12"/>
      <c r="H4" s="12"/>
      <c r="I4" s="57" t="s">
        <v>35</v>
      </c>
      <c r="J4" s="55"/>
      <c r="K4" s="56"/>
      <c r="L4" s="12"/>
      <c r="M4" s="58" t="s">
        <v>36</v>
      </c>
      <c r="N4" s="55"/>
      <c r="O4" s="56"/>
      <c r="P4" s="12"/>
      <c r="Q4" s="12"/>
    </row>
    <row r="5" spans="1:17" ht="26.1" customHeight="1" x14ac:dyDescent="0.2">
      <c r="A5" s="41" t="s">
        <v>37</v>
      </c>
      <c r="B5" s="41" t="s">
        <v>38</v>
      </c>
      <c r="C5" s="41" t="s">
        <v>39</v>
      </c>
      <c r="D5" s="41" t="s">
        <v>208</v>
      </c>
      <c r="E5" s="41" t="s">
        <v>41</v>
      </c>
      <c r="F5" s="41" t="s">
        <v>42</v>
      </c>
      <c r="G5" s="41" t="s">
        <v>209</v>
      </c>
      <c r="H5" s="41" t="s">
        <v>210</v>
      </c>
      <c r="I5" s="42" t="s">
        <v>44</v>
      </c>
      <c r="J5" s="42" t="s">
        <v>45</v>
      </c>
      <c r="K5" s="42" t="s">
        <v>46</v>
      </c>
      <c r="L5" s="41" t="s">
        <v>47</v>
      </c>
      <c r="M5" s="43" t="s">
        <v>48</v>
      </c>
      <c r="N5" s="43" t="s">
        <v>49</v>
      </c>
      <c r="O5" s="43" t="s">
        <v>50</v>
      </c>
      <c r="P5" s="41" t="s">
        <v>51</v>
      </c>
      <c r="Q5" s="44"/>
    </row>
    <row r="6" spans="1:17" ht="26.1" customHeight="1" x14ac:dyDescent="0.25">
      <c r="A6" s="12" t="s">
        <v>368</v>
      </c>
      <c r="B6" s="12" t="s">
        <v>53</v>
      </c>
      <c r="C6" s="12" t="s">
        <v>54</v>
      </c>
      <c r="D6" s="12" t="s">
        <v>252</v>
      </c>
      <c r="E6" s="12" t="s">
        <v>212</v>
      </c>
      <c r="F6" s="12" t="s">
        <v>369</v>
      </c>
      <c r="G6" s="12">
        <v>7</v>
      </c>
      <c r="H6" s="12" t="s">
        <v>214</v>
      </c>
      <c r="I6" s="45">
        <v>45658</v>
      </c>
      <c r="J6" s="45">
        <v>45643</v>
      </c>
      <c r="K6" s="45">
        <v>45618</v>
      </c>
      <c r="L6" s="12" t="s">
        <v>59</v>
      </c>
      <c r="M6" s="12" t="s">
        <v>60</v>
      </c>
      <c r="N6" s="12"/>
      <c r="O6" s="12"/>
      <c r="P6" s="12"/>
      <c r="Q6" s="12"/>
    </row>
    <row r="7" spans="1:17" ht="26.1" customHeight="1" x14ac:dyDescent="0.25">
      <c r="A7" s="12" t="s">
        <v>370</v>
      </c>
      <c r="B7" s="12" t="s">
        <v>53</v>
      </c>
      <c r="C7" s="12" t="s">
        <v>54</v>
      </c>
      <c r="D7" s="12" t="s">
        <v>252</v>
      </c>
      <c r="E7" s="12" t="s">
        <v>212</v>
      </c>
      <c r="F7" s="12" t="s">
        <v>371</v>
      </c>
      <c r="G7" s="12">
        <v>8</v>
      </c>
      <c r="H7" s="12" t="s">
        <v>214</v>
      </c>
      <c r="I7" s="45">
        <v>45658</v>
      </c>
      <c r="J7" s="45">
        <v>45643</v>
      </c>
      <c r="K7" s="45">
        <v>45618</v>
      </c>
      <c r="L7" s="12" t="s">
        <v>59</v>
      </c>
      <c r="M7" s="12" t="s">
        <v>60</v>
      </c>
      <c r="N7" s="12"/>
      <c r="O7" s="12"/>
      <c r="P7" s="12"/>
      <c r="Q7" s="12"/>
    </row>
    <row r="8" spans="1:17" ht="26.1" customHeight="1" x14ac:dyDescent="0.25">
      <c r="A8" s="12" t="s">
        <v>372</v>
      </c>
      <c r="B8" s="12" t="s">
        <v>53</v>
      </c>
      <c r="C8" s="12" t="s">
        <v>54</v>
      </c>
      <c r="D8" s="12" t="s">
        <v>220</v>
      </c>
      <c r="E8" s="12" t="s">
        <v>212</v>
      </c>
      <c r="F8" s="12" t="s">
        <v>369</v>
      </c>
      <c r="G8" s="12">
        <v>7</v>
      </c>
      <c r="H8" s="12" t="s">
        <v>214</v>
      </c>
      <c r="I8" s="45">
        <v>45292</v>
      </c>
      <c r="J8" s="45">
        <v>45280</v>
      </c>
      <c r="K8" s="45">
        <v>45251</v>
      </c>
      <c r="L8" s="12" t="s">
        <v>91</v>
      </c>
      <c r="M8" s="12" t="s">
        <v>60</v>
      </c>
      <c r="N8" s="12"/>
      <c r="O8" s="12"/>
      <c r="P8" s="12"/>
      <c r="Q8" s="12"/>
    </row>
    <row r="9" spans="1:17" ht="26.1" customHeight="1" x14ac:dyDescent="0.25">
      <c r="A9" s="12" t="s">
        <v>373</v>
      </c>
      <c r="B9" s="12" t="s">
        <v>53</v>
      </c>
      <c r="C9" s="12" t="s">
        <v>54</v>
      </c>
      <c r="D9" s="12" t="s">
        <v>220</v>
      </c>
      <c r="E9" s="12" t="s">
        <v>212</v>
      </c>
      <c r="F9" s="12" t="s">
        <v>371</v>
      </c>
      <c r="G9" s="12">
        <v>8</v>
      </c>
      <c r="H9" s="12" t="s">
        <v>214</v>
      </c>
      <c r="I9" s="45">
        <v>45292</v>
      </c>
      <c r="J9" s="45">
        <v>45280</v>
      </c>
      <c r="K9" s="45">
        <v>45251</v>
      </c>
      <c r="L9" s="12" t="s">
        <v>91</v>
      </c>
      <c r="M9" s="12" t="s">
        <v>60</v>
      </c>
      <c r="N9" s="12"/>
      <c r="O9" s="12"/>
      <c r="P9" s="12"/>
      <c r="Q9" s="12"/>
    </row>
    <row r="10" spans="1:17" ht="143.1" customHeight="1" x14ac:dyDescent="0.25">
      <c r="A10" s="12" t="s">
        <v>374</v>
      </c>
      <c r="B10" s="12" t="s">
        <v>53</v>
      </c>
      <c r="C10" s="12" t="s">
        <v>54</v>
      </c>
      <c r="D10" s="12" t="s">
        <v>224</v>
      </c>
      <c r="E10" s="12" t="s">
        <v>212</v>
      </c>
      <c r="F10" s="12" t="s">
        <v>375</v>
      </c>
      <c r="G10" s="12">
        <v>7</v>
      </c>
      <c r="H10" s="12" t="s">
        <v>214</v>
      </c>
      <c r="I10" s="45">
        <v>44927</v>
      </c>
      <c r="J10" s="45">
        <v>44915</v>
      </c>
      <c r="K10" s="45">
        <v>44887</v>
      </c>
      <c r="L10" s="12" t="s">
        <v>91</v>
      </c>
      <c r="M10" s="12" t="s">
        <v>60</v>
      </c>
      <c r="N10" s="12"/>
      <c r="O10" s="12"/>
      <c r="P10" s="12"/>
      <c r="Q10" s="12"/>
    </row>
    <row r="11" spans="1:17" ht="26.1" customHeight="1" x14ac:dyDescent="0.25">
      <c r="A11" s="12" t="s">
        <v>376</v>
      </c>
      <c r="B11" s="12" t="s">
        <v>53</v>
      </c>
      <c r="C11" s="12" t="s">
        <v>54</v>
      </c>
      <c r="D11" s="12" t="s">
        <v>224</v>
      </c>
      <c r="E11" s="12" t="s">
        <v>212</v>
      </c>
      <c r="F11" s="12" t="s">
        <v>377</v>
      </c>
      <c r="G11" s="12">
        <v>7</v>
      </c>
      <c r="H11" s="12" t="s">
        <v>214</v>
      </c>
      <c r="I11" s="45">
        <v>44927</v>
      </c>
      <c r="J11" s="45">
        <v>44915</v>
      </c>
      <c r="K11" s="45">
        <v>44887</v>
      </c>
      <c r="L11" s="12" t="s">
        <v>91</v>
      </c>
      <c r="M11" s="12" t="s">
        <v>60</v>
      </c>
      <c r="N11" s="12"/>
      <c r="O11" s="12"/>
      <c r="P11" s="12"/>
      <c r="Q11" s="12"/>
    </row>
    <row r="12" spans="1:17" ht="39" customHeight="1" x14ac:dyDescent="0.25">
      <c r="A12" s="12" t="s">
        <v>378</v>
      </c>
      <c r="B12" s="12" t="s">
        <v>53</v>
      </c>
      <c r="C12" s="12" t="s">
        <v>54</v>
      </c>
      <c r="D12" s="12" t="s">
        <v>228</v>
      </c>
      <c r="E12" s="12" t="s">
        <v>212</v>
      </c>
      <c r="F12" s="12" t="s">
        <v>379</v>
      </c>
      <c r="G12" s="12">
        <v>9</v>
      </c>
      <c r="H12" s="12" t="s">
        <v>214</v>
      </c>
      <c r="I12" s="45">
        <v>44562</v>
      </c>
      <c r="J12" s="45">
        <v>44537</v>
      </c>
      <c r="K12" s="45">
        <v>44512</v>
      </c>
      <c r="L12" s="12" t="s">
        <v>91</v>
      </c>
      <c r="M12" s="12" t="s">
        <v>60</v>
      </c>
      <c r="N12" s="12"/>
      <c r="O12" s="12"/>
      <c r="P12" s="12"/>
      <c r="Q12" s="12"/>
    </row>
    <row r="13" spans="1:17" ht="39" customHeight="1" x14ac:dyDescent="0.25">
      <c r="A13" s="12" t="s">
        <v>380</v>
      </c>
      <c r="B13" s="12" t="s">
        <v>53</v>
      </c>
      <c r="C13" s="12" t="s">
        <v>54</v>
      </c>
      <c r="D13" s="12" t="s">
        <v>228</v>
      </c>
      <c r="E13" s="12" t="s">
        <v>212</v>
      </c>
      <c r="F13" s="12" t="s">
        <v>381</v>
      </c>
      <c r="G13" s="12">
        <v>9</v>
      </c>
      <c r="H13" s="12" t="s">
        <v>214</v>
      </c>
      <c r="I13" s="45">
        <v>44350</v>
      </c>
      <c r="J13" s="45">
        <v>44348</v>
      </c>
      <c r="K13" s="45">
        <v>44328</v>
      </c>
      <c r="L13" s="12" t="s">
        <v>91</v>
      </c>
      <c r="M13" s="12" t="s">
        <v>60</v>
      </c>
      <c r="N13" s="12"/>
      <c r="O13" s="12"/>
      <c r="P13" s="12"/>
      <c r="Q13" s="12"/>
    </row>
    <row r="14" spans="1:17" ht="39" customHeight="1" x14ac:dyDescent="0.25">
      <c r="A14" s="12" t="s">
        <v>382</v>
      </c>
      <c r="B14" s="12" t="s">
        <v>53</v>
      </c>
      <c r="C14" s="12" t="s">
        <v>54</v>
      </c>
      <c r="D14" s="12" t="s">
        <v>232</v>
      </c>
      <c r="E14" s="12" t="s">
        <v>212</v>
      </c>
      <c r="F14" s="12" t="s">
        <v>383</v>
      </c>
      <c r="G14" s="12">
        <v>9</v>
      </c>
      <c r="H14" s="12" t="s">
        <v>214</v>
      </c>
      <c r="I14" s="45">
        <v>44194</v>
      </c>
      <c r="J14" s="45">
        <v>44183</v>
      </c>
      <c r="K14" s="45">
        <v>44181</v>
      </c>
      <c r="L14" s="12" t="s">
        <v>91</v>
      </c>
      <c r="M14" s="12" t="s">
        <v>60</v>
      </c>
      <c r="N14" s="12"/>
      <c r="O14" s="12"/>
      <c r="P14" s="12" t="s">
        <v>384</v>
      </c>
      <c r="Q14" s="12"/>
    </row>
    <row r="15" spans="1:17" ht="39" customHeight="1" x14ac:dyDescent="0.25">
      <c r="A15" s="12" t="s">
        <v>385</v>
      </c>
      <c r="B15" s="12" t="s">
        <v>53</v>
      </c>
      <c r="C15" s="12" t="s">
        <v>54</v>
      </c>
      <c r="D15" s="12" t="s">
        <v>236</v>
      </c>
      <c r="E15" s="12" t="s">
        <v>212</v>
      </c>
      <c r="F15" s="12" t="s">
        <v>386</v>
      </c>
      <c r="G15" s="12">
        <v>9</v>
      </c>
      <c r="H15" s="12" t="s">
        <v>214</v>
      </c>
      <c r="I15" s="45">
        <v>43831</v>
      </c>
      <c r="J15" s="45">
        <v>43794</v>
      </c>
      <c r="K15" s="45">
        <v>43818</v>
      </c>
      <c r="L15" s="12" t="s">
        <v>91</v>
      </c>
      <c r="M15" s="12" t="s">
        <v>60</v>
      </c>
      <c r="N15" s="12"/>
      <c r="O15" s="12"/>
      <c r="P15" s="12" t="s">
        <v>384</v>
      </c>
      <c r="Q15" s="12"/>
    </row>
    <row r="16" spans="1:17" ht="51.95" customHeight="1" x14ac:dyDescent="0.25">
      <c r="A16" s="12" t="s">
        <v>387</v>
      </c>
      <c r="B16" s="12" t="s">
        <v>53</v>
      </c>
      <c r="C16" s="12" t="s">
        <v>54</v>
      </c>
      <c r="D16" s="12" t="s">
        <v>55</v>
      </c>
      <c r="E16" s="12" t="s">
        <v>212</v>
      </c>
      <c r="F16" s="12" t="s">
        <v>388</v>
      </c>
      <c r="G16" s="12">
        <v>9</v>
      </c>
      <c r="H16" s="12" t="s">
        <v>214</v>
      </c>
      <c r="I16" s="45">
        <v>43466</v>
      </c>
      <c r="J16" s="45">
        <v>43447</v>
      </c>
      <c r="K16" s="45">
        <v>43448</v>
      </c>
      <c r="L16" s="12" t="s">
        <v>91</v>
      </c>
      <c r="M16" s="12" t="s">
        <v>60</v>
      </c>
      <c r="N16" s="12"/>
      <c r="O16" s="12"/>
      <c r="P16" s="12"/>
      <c r="Q16" s="12"/>
    </row>
    <row r="17" spans="1:17" ht="26.1" customHeight="1" x14ac:dyDescent="0.25">
      <c r="A17" s="12" t="s">
        <v>389</v>
      </c>
      <c r="B17" s="12" t="s">
        <v>53</v>
      </c>
      <c r="C17" s="12" t="s">
        <v>54</v>
      </c>
      <c r="D17" s="12" t="s">
        <v>83</v>
      </c>
      <c r="E17" s="12" t="s">
        <v>212</v>
      </c>
      <c r="F17" s="12" t="s">
        <v>390</v>
      </c>
      <c r="G17" s="12">
        <v>6</v>
      </c>
      <c r="H17" s="12" t="s">
        <v>214</v>
      </c>
      <c r="I17" s="45">
        <v>43101</v>
      </c>
      <c r="J17" s="45">
        <v>43073</v>
      </c>
      <c r="K17" s="45">
        <v>43080</v>
      </c>
      <c r="L17" s="12" t="s">
        <v>91</v>
      </c>
      <c r="M17" s="12" t="s">
        <v>60</v>
      </c>
      <c r="N17" s="12"/>
      <c r="O17" s="12"/>
      <c r="P17" s="12"/>
      <c r="Q17" s="12"/>
    </row>
    <row r="18" spans="1:17" ht="26.1" customHeight="1" x14ac:dyDescent="0.25">
      <c r="A18" s="12" t="s">
        <v>391</v>
      </c>
      <c r="B18" s="12" t="s">
        <v>53</v>
      </c>
      <c r="C18" s="12" t="s">
        <v>54</v>
      </c>
      <c r="D18" s="12" t="s">
        <v>126</v>
      </c>
      <c r="E18" s="12" t="s">
        <v>212</v>
      </c>
      <c r="F18" s="12" t="s">
        <v>392</v>
      </c>
      <c r="G18" s="12">
        <v>7</v>
      </c>
      <c r="H18" s="12" t="s">
        <v>214</v>
      </c>
      <c r="I18" s="45">
        <v>42736</v>
      </c>
      <c r="J18" s="45">
        <v>42689</v>
      </c>
      <c r="K18" s="45">
        <v>42690</v>
      </c>
      <c r="L18" s="12" t="s">
        <v>91</v>
      </c>
      <c r="M18" s="12" t="s">
        <v>60</v>
      </c>
      <c r="N18" s="12"/>
      <c r="O18" s="12"/>
      <c r="P18" s="12"/>
      <c r="Q18" s="12"/>
    </row>
    <row r="19" spans="1:17" ht="26.1" customHeight="1" x14ac:dyDescent="0.25">
      <c r="A19" s="12" t="s">
        <v>393</v>
      </c>
      <c r="B19" s="12" t="s">
        <v>53</v>
      </c>
      <c r="C19" s="12" t="s">
        <v>54</v>
      </c>
      <c r="D19" s="12" t="s">
        <v>126</v>
      </c>
      <c r="E19" s="12" t="s">
        <v>212</v>
      </c>
      <c r="F19" s="12" t="s">
        <v>394</v>
      </c>
      <c r="G19" s="12">
        <v>7</v>
      </c>
      <c r="H19" s="12" t="s">
        <v>214</v>
      </c>
      <c r="I19" s="45">
        <v>42522</v>
      </c>
      <c r="J19" s="45">
        <v>42489</v>
      </c>
      <c r="K19" s="45">
        <v>42479</v>
      </c>
      <c r="L19" s="12" t="s">
        <v>91</v>
      </c>
      <c r="M19" s="12" t="s">
        <v>60</v>
      </c>
      <c r="N19" s="12"/>
      <c r="O19" s="12"/>
      <c r="P19" s="12"/>
      <c r="Q19" s="12"/>
    </row>
    <row r="20" spans="1:17" ht="26.1" customHeight="1" x14ac:dyDescent="0.25">
      <c r="A20" s="12" t="s">
        <v>395</v>
      </c>
      <c r="B20" s="12" t="s">
        <v>62</v>
      </c>
      <c r="C20" s="12" t="s">
        <v>63</v>
      </c>
      <c r="D20" s="12" t="s">
        <v>224</v>
      </c>
      <c r="E20" s="12" t="s">
        <v>212</v>
      </c>
      <c r="F20" s="12" t="s">
        <v>396</v>
      </c>
      <c r="G20" s="12">
        <v>8</v>
      </c>
      <c r="H20" s="12" t="s">
        <v>214</v>
      </c>
      <c r="I20" s="45">
        <v>44927</v>
      </c>
      <c r="J20" s="45">
        <v>44679</v>
      </c>
      <c r="K20" s="45">
        <v>44679</v>
      </c>
      <c r="L20" s="12" t="s">
        <v>91</v>
      </c>
      <c r="M20" s="12" t="s">
        <v>60</v>
      </c>
      <c r="N20" s="12"/>
      <c r="O20" s="12"/>
      <c r="P20" s="12"/>
      <c r="Q20" s="12"/>
    </row>
    <row r="21" spans="1:17" ht="39" customHeight="1" x14ac:dyDescent="0.25">
      <c r="A21" s="12" t="s">
        <v>397</v>
      </c>
      <c r="B21" s="12" t="s">
        <v>62</v>
      </c>
      <c r="C21" s="12" t="s">
        <v>63</v>
      </c>
      <c r="D21" s="12" t="s">
        <v>228</v>
      </c>
      <c r="E21" s="12" t="s">
        <v>212</v>
      </c>
      <c r="F21" s="12" t="s">
        <v>398</v>
      </c>
      <c r="G21" s="12">
        <v>8</v>
      </c>
      <c r="H21" s="12" t="s">
        <v>214</v>
      </c>
      <c r="I21" s="45">
        <v>44562</v>
      </c>
      <c r="J21" s="45">
        <v>44369</v>
      </c>
      <c r="K21" s="45">
        <v>44498</v>
      </c>
      <c r="L21" s="12" t="s">
        <v>91</v>
      </c>
      <c r="M21" s="12" t="s">
        <v>60</v>
      </c>
      <c r="N21" s="12"/>
      <c r="O21" s="12"/>
      <c r="P21" s="12" t="s">
        <v>399</v>
      </c>
      <c r="Q21" s="12"/>
    </row>
    <row r="22" spans="1:17" ht="26.1" customHeight="1" x14ac:dyDescent="0.25">
      <c r="A22" s="12" t="s">
        <v>400</v>
      </c>
      <c r="B22" s="12" t="s">
        <v>62</v>
      </c>
      <c r="C22" s="12" t="s">
        <v>63</v>
      </c>
      <c r="D22" s="12" t="s">
        <v>232</v>
      </c>
      <c r="E22" s="12" t="s">
        <v>212</v>
      </c>
      <c r="F22" s="12" t="s">
        <v>401</v>
      </c>
      <c r="G22" s="12">
        <v>8</v>
      </c>
      <c r="H22" s="12" t="s">
        <v>214</v>
      </c>
      <c r="I22" s="45">
        <v>44197</v>
      </c>
      <c r="J22" s="45">
        <v>44006</v>
      </c>
      <c r="K22" s="45">
        <v>44133</v>
      </c>
      <c r="L22" s="12" t="s">
        <v>91</v>
      </c>
      <c r="M22" s="12" t="s">
        <v>60</v>
      </c>
      <c r="N22" s="12"/>
      <c r="O22" s="12"/>
      <c r="P22" s="12" t="s">
        <v>402</v>
      </c>
      <c r="Q22" s="12"/>
    </row>
    <row r="23" spans="1:17" ht="26.1" customHeight="1" x14ac:dyDescent="0.25">
      <c r="A23" s="12" t="s">
        <v>403</v>
      </c>
      <c r="B23" s="12" t="s">
        <v>62</v>
      </c>
      <c r="C23" s="12" t="s">
        <v>63</v>
      </c>
      <c r="D23" s="12" t="s">
        <v>236</v>
      </c>
      <c r="E23" s="12" t="s">
        <v>212</v>
      </c>
      <c r="F23" s="12" t="s">
        <v>404</v>
      </c>
      <c r="G23" s="12">
        <v>8</v>
      </c>
      <c r="H23" s="12" t="s">
        <v>214</v>
      </c>
      <c r="I23" s="45">
        <v>43831</v>
      </c>
      <c r="J23" s="45">
        <v>43644</v>
      </c>
      <c r="K23" s="45">
        <v>43795</v>
      </c>
      <c r="L23" s="12" t="s">
        <v>91</v>
      </c>
      <c r="M23" s="12" t="s">
        <v>60</v>
      </c>
      <c r="N23" s="12"/>
      <c r="O23" s="12"/>
      <c r="P23" s="12" t="s">
        <v>405</v>
      </c>
      <c r="Q23" s="12"/>
    </row>
    <row r="24" spans="1:17" ht="26.1" customHeight="1" x14ac:dyDescent="0.25">
      <c r="A24" s="12" t="s">
        <v>406</v>
      </c>
      <c r="B24" s="12" t="s">
        <v>62</v>
      </c>
      <c r="C24" s="12" t="s">
        <v>63</v>
      </c>
      <c r="D24" s="12" t="s">
        <v>55</v>
      </c>
      <c r="E24" s="12" t="s">
        <v>212</v>
      </c>
      <c r="F24" s="12" t="s">
        <v>407</v>
      </c>
      <c r="G24" s="12">
        <v>8</v>
      </c>
      <c r="H24" s="12" t="s">
        <v>214</v>
      </c>
      <c r="I24" s="45">
        <v>43466</v>
      </c>
      <c r="J24" s="45">
        <v>43361</v>
      </c>
      <c r="K24" s="45">
        <v>43427</v>
      </c>
      <c r="L24" s="12" t="s">
        <v>91</v>
      </c>
      <c r="M24" s="12" t="s">
        <v>60</v>
      </c>
      <c r="N24" s="12"/>
      <c r="O24" s="12"/>
      <c r="P24" s="12" t="s">
        <v>399</v>
      </c>
      <c r="Q24" s="12"/>
    </row>
    <row r="25" spans="1:17" ht="26.1" customHeight="1" x14ac:dyDescent="0.25">
      <c r="A25" s="12" t="s">
        <v>408</v>
      </c>
      <c r="B25" s="12" t="s">
        <v>62</v>
      </c>
      <c r="C25" s="12" t="s">
        <v>63</v>
      </c>
      <c r="D25" s="12" t="s">
        <v>83</v>
      </c>
      <c r="E25" s="12" t="s">
        <v>212</v>
      </c>
      <c r="F25" s="12" t="s">
        <v>407</v>
      </c>
      <c r="G25" s="12">
        <v>8</v>
      </c>
      <c r="H25" s="12" t="s">
        <v>214</v>
      </c>
      <c r="I25" s="45">
        <v>43101</v>
      </c>
      <c r="J25" s="45">
        <v>43045</v>
      </c>
      <c r="K25" s="45">
        <v>43069</v>
      </c>
      <c r="L25" s="12" t="s">
        <v>91</v>
      </c>
      <c r="M25" s="12" t="s">
        <v>60</v>
      </c>
      <c r="N25" s="12"/>
      <c r="O25" s="12"/>
      <c r="P25" s="12"/>
      <c r="Q25" s="12"/>
    </row>
    <row r="26" spans="1:17" ht="26.1" customHeight="1" x14ac:dyDescent="0.25">
      <c r="A26" s="12" t="s">
        <v>409</v>
      </c>
      <c r="B26" s="12" t="s">
        <v>62</v>
      </c>
      <c r="C26" s="12" t="s">
        <v>63</v>
      </c>
      <c r="D26" s="12" t="s">
        <v>126</v>
      </c>
      <c r="E26" s="12" t="s">
        <v>212</v>
      </c>
      <c r="F26" s="12" t="s">
        <v>407</v>
      </c>
      <c r="G26" s="12">
        <v>8</v>
      </c>
      <c r="H26" s="12" t="s">
        <v>214</v>
      </c>
      <c r="I26" s="45">
        <v>42736</v>
      </c>
      <c r="J26" s="45">
        <v>42704</v>
      </c>
      <c r="K26" s="45">
        <v>42801</v>
      </c>
      <c r="L26" s="12" t="s">
        <v>91</v>
      </c>
      <c r="M26" s="12" t="s">
        <v>60</v>
      </c>
      <c r="N26" s="12"/>
      <c r="O26" s="12"/>
      <c r="P26" s="12"/>
      <c r="Q26" s="12"/>
    </row>
    <row r="27" spans="1:17" ht="26.1" customHeight="1" x14ac:dyDescent="0.25">
      <c r="A27" s="12" t="s">
        <v>410</v>
      </c>
      <c r="B27" s="12" t="s">
        <v>62</v>
      </c>
      <c r="C27" s="12" t="s">
        <v>63</v>
      </c>
      <c r="D27" s="12" t="s">
        <v>252</v>
      </c>
      <c r="E27" s="12" t="s">
        <v>56</v>
      </c>
      <c r="F27" s="12" t="s">
        <v>411</v>
      </c>
      <c r="G27" s="12">
        <v>8</v>
      </c>
      <c r="H27" s="12" t="s">
        <v>214</v>
      </c>
      <c r="I27" s="45">
        <v>45658</v>
      </c>
      <c r="J27" s="45">
        <v>45428</v>
      </c>
      <c r="K27" s="45">
        <v>45428</v>
      </c>
      <c r="L27" s="12" t="s">
        <v>59</v>
      </c>
      <c r="M27" s="12" t="s">
        <v>60</v>
      </c>
      <c r="N27" s="12"/>
      <c r="O27" s="12"/>
      <c r="P27" s="12"/>
      <c r="Q27" s="12"/>
    </row>
    <row r="28" spans="1:17" ht="39" customHeight="1" x14ac:dyDescent="0.25">
      <c r="A28" s="12" t="s">
        <v>412</v>
      </c>
      <c r="B28" s="12" t="s">
        <v>62</v>
      </c>
      <c r="C28" s="12" t="s">
        <v>63</v>
      </c>
      <c r="D28" s="12" t="s">
        <v>77</v>
      </c>
      <c r="E28" s="12" t="s">
        <v>212</v>
      </c>
      <c r="F28" s="12" t="s">
        <v>413</v>
      </c>
      <c r="G28" s="12">
        <v>8</v>
      </c>
      <c r="H28" s="12" t="s">
        <v>214</v>
      </c>
      <c r="I28" s="45">
        <v>42370</v>
      </c>
      <c r="J28" s="45">
        <v>42318</v>
      </c>
      <c r="K28" s="45">
        <v>42303</v>
      </c>
      <c r="L28" s="12" t="s">
        <v>91</v>
      </c>
      <c r="M28" s="12" t="s">
        <v>60</v>
      </c>
      <c r="N28" s="12"/>
      <c r="O28" s="12"/>
      <c r="P28" s="12" t="s">
        <v>399</v>
      </c>
      <c r="Q28" s="12"/>
    </row>
    <row r="29" spans="1:17" ht="26.1" customHeight="1" x14ac:dyDescent="0.25">
      <c r="A29" s="12" t="s">
        <v>414</v>
      </c>
      <c r="B29" s="12" t="s">
        <v>62</v>
      </c>
      <c r="C29" s="12" t="s">
        <v>63</v>
      </c>
      <c r="D29" s="12" t="s">
        <v>220</v>
      </c>
      <c r="E29" s="12" t="s">
        <v>212</v>
      </c>
      <c r="F29" s="12" t="s">
        <v>411</v>
      </c>
      <c r="G29" s="12">
        <v>8</v>
      </c>
      <c r="H29" s="12" t="s">
        <v>214</v>
      </c>
      <c r="I29" s="45">
        <v>45292</v>
      </c>
      <c r="J29" s="45">
        <v>45104</v>
      </c>
      <c r="K29" s="45">
        <v>45125</v>
      </c>
      <c r="L29" s="12" t="s">
        <v>59</v>
      </c>
      <c r="M29" s="12" t="s">
        <v>60</v>
      </c>
      <c r="N29" s="12"/>
      <c r="O29" s="12"/>
      <c r="P29" s="12" t="s">
        <v>415</v>
      </c>
      <c r="Q29" s="12"/>
    </row>
    <row r="30" spans="1:17" ht="39" customHeight="1" x14ac:dyDescent="0.25">
      <c r="A30" s="12" t="s">
        <v>416</v>
      </c>
      <c r="B30" s="12" t="s">
        <v>65</v>
      </c>
      <c r="C30" s="12" t="s">
        <v>66</v>
      </c>
      <c r="D30" s="12" t="s">
        <v>228</v>
      </c>
      <c r="E30" s="12" t="s">
        <v>212</v>
      </c>
      <c r="F30" s="12" t="s">
        <v>417</v>
      </c>
      <c r="G30" s="12">
        <v>8</v>
      </c>
      <c r="H30" s="12" t="s">
        <v>214</v>
      </c>
      <c r="I30" s="45">
        <v>44562</v>
      </c>
      <c r="J30" s="45">
        <v>44498</v>
      </c>
      <c r="K30" s="45">
        <v>44498</v>
      </c>
      <c r="L30" s="12" t="s">
        <v>91</v>
      </c>
      <c r="M30" s="12" t="s">
        <v>60</v>
      </c>
      <c r="N30" s="12"/>
      <c r="O30" s="12"/>
      <c r="P30" s="12" t="s">
        <v>418</v>
      </c>
      <c r="Q30" s="12"/>
    </row>
    <row r="31" spans="1:17" ht="26.1" customHeight="1" x14ac:dyDescent="0.25">
      <c r="A31" s="12" t="s">
        <v>419</v>
      </c>
      <c r="B31" s="12" t="s">
        <v>65</v>
      </c>
      <c r="C31" s="12" t="s">
        <v>66</v>
      </c>
      <c r="D31" s="12" t="s">
        <v>232</v>
      </c>
      <c r="E31" s="12" t="s">
        <v>212</v>
      </c>
      <c r="F31" s="12" t="s">
        <v>420</v>
      </c>
      <c r="G31" s="12">
        <v>8</v>
      </c>
      <c r="H31" s="12" t="s">
        <v>214</v>
      </c>
      <c r="I31" s="45">
        <v>44197</v>
      </c>
      <c r="J31" s="45">
        <v>44133</v>
      </c>
      <c r="K31" s="45">
        <v>44134</v>
      </c>
      <c r="L31" s="12" t="s">
        <v>91</v>
      </c>
      <c r="M31" s="12" t="s">
        <v>60</v>
      </c>
      <c r="N31" s="12"/>
      <c r="O31" s="12"/>
      <c r="P31" s="12" t="s">
        <v>421</v>
      </c>
      <c r="Q31" s="12"/>
    </row>
    <row r="32" spans="1:17" ht="26.1" customHeight="1" x14ac:dyDescent="0.25">
      <c r="A32" s="12" t="s">
        <v>422</v>
      </c>
      <c r="B32" s="12" t="s">
        <v>65</v>
      </c>
      <c r="C32" s="12" t="s">
        <v>66</v>
      </c>
      <c r="D32" s="12" t="s">
        <v>236</v>
      </c>
      <c r="E32" s="12" t="s">
        <v>212</v>
      </c>
      <c r="F32" s="12" t="s">
        <v>407</v>
      </c>
      <c r="G32" s="12">
        <v>8</v>
      </c>
      <c r="H32" s="12" t="s">
        <v>214</v>
      </c>
      <c r="I32" s="45">
        <v>43831</v>
      </c>
      <c r="J32" s="45">
        <v>43753</v>
      </c>
      <c r="K32" s="45">
        <v>43754</v>
      </c>
      <c r="L32" s="12" t="s">
        <v>91</v>
      </c>
      <c r="M32" s="12" t="s">
        <v>60</v>
      </c>
      <c r="N32" s="12"/>
      <c r="O32" s="12"/>
      <c r="P32" s="12" t="s">
        <v>423</v>
      </c>
      <c r="Q32" s="12"/>
    </row>
    <row r="33" spans="1:17" ht="26.1" customHeight="1" x14ac:dyDescent="0.25">
      <c r="A33" s="12" t="s">
        <v>424</v>
      </c>
      <c r="B33" s="12" t="s">
        <v>65</v>
      </c>
      <c r="C33" s="12" t="s">
        <v>66</v>
      </c>
      <c r="D33" s="12" t="s">
        <v>55</v>
      </c>
      <c r="E33" s="12" t="s">
        <v>212</v>
      </c>
      <c r="F33" s="12" t="s">
        <v>425</v>
      </c>
      <c r="G33" s="12">
        <v>10</v>
      </c>
      <c r="H33" s="12" t="s">
        <v>214</v>
      </c>
      <c r="I33" s="45">
        <v>43466</v>
      </c>
      <c r="J33" s="45">
        <v>43377</v>
      </c>
      <c r="K33" s="45">
        <v>43378</v>
      </c>
      <c r="L33" s="12" t="s">
        <v>91</v>
      </c>
      <c r="M33" s="12" t="s">
        <v>60</v>
      </c>
      <c r="N33" s="12"/>
      <c r="O33" s="12"/>
      <c r="P33" s="12" t="s">
        <v>426</v>
      </c>
      <c r="Q33" s="12"/>
    </row>
    <row r="34" spans="1:17" ht="26.1" customHeight="1" x14ac:dyDescent="0.25">
      <c r="A34" s="12" t="s">
        <v>427</v>
      </c>
      <c r="B34" s="12" t="s">
        <v>65</v>
      </c>
      <c r="C34" s="12" t="s">
        <v>66</v>
      </c>
      <c r="D34" s="12" t="s">
        <v>83</v>
      </c>
      <c r="E34" s="12" t="s">
        <v>212</v>
      </c>
      <c r="F34" s="12" t="s">
        <v>428</v>
      </c>
      <c r="G34" s="12">
        <v>11</v>
      </c>
      <c r="H34" s="12" t="s">
        <v>214</v>
      </c>
      <c r="I34" s="45">
        <v>43101</v>
      </c>
      <c r="J34" s="45">
        <v>43039</v>
      </c>
      <c r="K34" s="45">
        <v>43042</v>
      </c>
      <c r="L34" s="12" t="s">
        <v>91</v>
      </c>
      <c r="M34" s="12" t="s">
        <v>60</v>
      </c>
      <c r="N34" s="12"/>
      <c r="O34" s="12"/>
      <c r="P34" s="12" t="s">
        <v>429</v>
      </c>
      <c r="Q34" s="12"/>
    </row>
    <row r="35" spans="1:17" ht="26.1" customHeight="1" x14ac:dyDescent="0.25">
      <c r="A35" s="12" t="s">
        <v>430</v>
      </c>
      <c r="B35" s="12" t="s">
        <v>65</v>
      </c>
      <c r="C35" s="12" t="s">
        <v>66</v>
      </c>
      <c r="D35" s="12" t="s">
        <v>126</v>
      </c>
      <c r="E35" s="12" t="s">
        <v>212</v>
      </c>
      <c r="F35" s="12" t="s">
        <v>425</v>
      </c>
      <c r="G35" s="12">
        <v>10</v>
      </c>
      <c r="H35" s="12" t="s">
        <v>214</v>
      </c>
      <c r="I35" s="45">
        <v>42736</v>
      </c>
      <c r="J35" s="45">
        <v>42684</v>
      </c>
      <c r="K35" s="45">
        <v>42685</v>
      </c>
      <c r="L35" s="12" t="s">
        <v>91</v>
      </c>
      <c r="M35" s="12" t="s">
        <v>60</v>
      </c>
      <c r="N35" s="12"/>
      <c r="O35" s="12"/>
      <c r="P35" s="12" t="s">
        <v>431</v>
      </c>
      <c r="Q35" s="12"/>
    </row>
    <row r="36" spans="1:17" ht="39" customHeight="1" x14ac:dyDescent="0.25">
      <c r="A36" s="12" t="s">
        <v>432</v>
      </c>
      <c r="B36" s="12" t="s">
        <v>65</v>
      </c>
      <c r="C36" s="12" t="s">
        <v>66</v>
      </c>
      <c r="D36" s="12" t="s">
        <v>252</v>
      </c>
      <c r="E36" s="12" t="s">
        <v>212</v>
      </c>
      <c r="F36" s="12" t="s">
        <v>433</v>
      </c>
      <c r="G36" s="12">
        <v>6</v>
      </c>
      <c r="H36" s="12" t="s">
        <v>214</v>
      </c>
      <c r="I36" s="45">
        <v>45658</v>
      </c>
      <c r="J36" s="45">
        <v>45596</v>
      </c>
      <c r="K36" s="45">
        <v>45600</v>
      </c>
      <c r="L36" s="12" t="s">
        <v>59</v>
      </c>
      <c r="M36" s="12" t="s">
        <v>60</v>
      </c>
      <c r="N36" s="12"/>
      <c r="O36" s="12"/>
      <c r="P36" s="12" t="s">
        <v>434</v>
      </c>
      <c r="Q36" s="12"/>
    </row>
    <row r="37" spans="1:17" ht="26.1" customHeight="1" x14ac:dyDescent="0.25">
      <c r="A37" s="12" t="s">
        <v>435</v>
      </c>
      <c r="B37" s="12" t="s">
        <v>65</v>
      </c>
      <c r="C37" s="12" t="s">
        <v>66</v>
      </c>
      <c r="D37" s="12" t="s">
        <v>220</v>
      </c>
      <c r="E37" s="12" t="s">
        <v>212</v>
      </c>
      <c r="F37" s="12" t="s">
        <v>436</v>
      </c>
      <c r="G37" s="12">
        <v>6</v>
      </c>
      <c r="H37" s="12" t="s">
        <v>214</v>
      </c>
      <c r="I37" s="45">
        <v>45292</v>
      </c>
      <c r="J37" s="45">
        <v>45217</v>
      </c>
      <c r="K37" s="45">
        <v>45218</v>
      </c>
      <c r="L37" s="12" t="s">
        <v>91</v>
      </c>
      <c r="M37" s="12" t="s">
        <v>60</v>
      </c>
      <c r="N37" s="12"/>
      <c r="O37" s="12"/>
      <c r="P37" s="12" t="s">
        <v>434</v>
      </c>
      <c r="Q37" s="12"/>
    </row>
    <row r="38" spans="1:17" ht="26.1" customHeight="1" x14ac:dyDescent="0.25">
      <c r="A38" s="12" t="s">
        <v>437</v>
      </c>
      <c r="B38" s="12" t="s">
        <v>65</v>
      </c>
      <c r="C38" s="12" t="s">
        <v>66</v>
      </c>
      <c r="D38" s="12" t="s">
        <v>224</v>
      </c>
      <c r="E38" s="12" t="s">
        <v>212</v>
      </c>
      <c r="F38" s="12" t="s">
        <v>420</v>
      </c>
      <c r="G38" s="12">
        <v>8</v>
      </c>
      <c r="H38" s="12" t="s">
        <v>214</v>
      </c>
      <c r="I38" s="45">
        <v>44927</v>
      </c>
      <c r="J38" s="45">
        <v>44862</v>
      </c>
      <c r="K38" s="45">
        <v>44862</v>
      </c>
      <c r="L38" s="12" t="s">
        <v>91</v>
      </c>
      <c r="M38" s="12" t="s">
        <v>60</v>
      </c>
      <c r="N38" s="12"/>
      <c r="O38" s="12"/>
      <c r="P38" s="12" t="s">
        <v>434</v>
      </c>
      <c r="Q38" s="12"/>
    </row>
    <row r="39" spans="1:17" ht="26.1" customHeight="1" x14ac:dyDescent="0.25">
      <c r="A39" s="12" t="s">
        <v>438</v>
      </c>
      <c r="B39" s="12" t="s">
        <v>71</v>
      </c>
      <c r="C39" s="12" t="s">
        <v>72</v>
      </c>
      <c r="D39" s="12" t="s">
        <v>252</v>
      </c>
      <c r="E39" s="12" t="s">
        <v>212</v>
      </c>
      <c r="F39" s="12" t="s">
        <v>439</v>
      </c>
      <c r="G39" s="12">
        <v>1</v>
      </c>
      <c r="H39" s="12" t="s">
        <v>214</v>
      </c>
      <c r="I39" s="45">
        <v>45658</v>
      </c>
      <c r="J39" s="45">
        <v>45625</v>
      </c>
      <c r="K39" s="45">
        <v>45611</v>
      </c>
      <c r="L39" s="12" t="s">
        <v>59</v>
      </c>
      <c r="M39" s="12" t="s">
        <v>60</v>
      </c>
      <c r="N39" s="12"/>
      <c r="O39" s="12"/>
      <c r="P39" s="12" t="s">
        <v>440</v>
      </c>
      <c r="Q39" s="12"/>
    </row>
    <row r="40" spans="1:17" ht="26.1" customHeight="1" x14ac:dyDescent="0.25">
      <c r="A40" s="12" t="s">
        <v>441</v>
      </c>
      <c r="B40" s="12" t="s">
        <v>71</v>
      </c>
      <c r="C40" s="12" t="s">
        <v>72</v>
      </c>
      <c r="D40" s="12" t="s">
        <v>126</v>
      </c>
      <c r="E40" s="12" t="s">
        <v>212</v>
      </c>
      <c r="F40" s="12" t="s">
        <v>388</v>
      </c>
      <c r="G40" s="12">
        <v>9</v>
      </c>
      <c r="H40" s="12" t="s">
        <v>214</v>
      </c>
      <c r="I40" s="45">
        <v>42788</v>
      </c>
      <c r="J40" s="45">
        <v>42718</v>
      </c>
      <c r="K40" s="45">
        <v>42706</v>
      </c>
      <c r="L40" s="12" t="s">
        <v>91</v>
      </c>
      <c r="M40" s="12" t="s">
        <v>60</v>
      </c>
      <c r="N40" s="12"/>
      <c r="O40" s="12"/>
      <c r="P40" s="12" t="s">
        <v>442</v>
      </c>
      <c r="Q40" s="12"/>
    </row>
    <row r="41" spans="1:17" ht="39" customHeight="1" x14ac:dyDescent="0.25">
      <c r="A41" s="12" t="s">
        <v>443</v>
      </c>
      <c r="B41" s="12" t="s">
        <v>71</v>
      </c>
      <c r="C41" s="12" t="s">
        <v>72</v>
      </c>
      <c r="D41" s="12" t="s">
        <v>83</v>
      </c>
      <c r="E41" s="12" t="s">
        <v>212</v>
      </c>
      <c r="F41" s="12" t="s">
        <v>407</v>
      </c>
      <c r="G41" s="12">
        <v>8</v>
      </c>
      <c r="H41" s="12" t="s">
        <v>214</v>
      </c>
      <c r="I41" s="45">
        <v>43144</v>
      </c>
      <c r="J41" s="45">
        <v>43091</v>
      </c>
      <c r="K41" s="45">
        <v>43077</v>
      </c>
      <c r="L41" s="12" t="s">
        <v>91</v>
      </c>
      <c r="M41" s="12" t="s">
        <v>60</v>
      </c>
      <c r="N41" s="12"/>
      <c r="O41" s="12"/>
      <c r="P41" s="12" t="s">
        <v>444</v>
      </c>
      <c r="Q41" s="12"/>
    </row>
    <row r="42" spans="1:17" ht="26.1" customHeight="1" x14ac:dyDescent="0.25">
      <c r="A42" s="12" t="s">
        <v>445</v>
      </c>
      <c r="B42" s="12" t="s">
        <v>71</v>
      </c>
      <c r="C42" s="12" t="s">
        <v>72</v>
      </c>
      <c r="D42" s="12" t="s">
        <v>220</v>
      </c>
      <c r="E42" s="12" t="s">
        <v>212</v>
      </c>
      <c r="F42" s="12" t="s">
        <v>446</v>
      </c>
      <c r="G42" s="12">
        <v>7</v>
      </c>
      <c r="H42" s="12" t="s">
        <v>214</v>
      </c>
      <c r="I42" s="45">
        <v>45292</v>
      </c>
      <c r="J42" s="45">
        <v>45250</v>
      </c>
      <c r="K42" s="45">
        <v>45222</v>
      </c>
      <c r="L42" s="12" t="s">
        <v>59</v>
      </c>
      <c r="M42" s="12" t="s">
        <v>60</v>
      </c>
      <c r="N42" s="12"/>
      <c r="O42" s="12"/>
      <c r="P42" s="12" t="s">
        <v>440</v>
      </c>
      <c r="Q42" s="12"/>
    </row>
    <row r="43" spans="1:17" ht="26.1" customHeight="1" x14ac:dyDescent="0.25">
      <c r="A43" s="12" t="s">
        <v>447</v>
      </c>
      <c r="B43" s="12" t="s">
        <v>71</v>
      </c>
      <c r="C43" s="12" t="s">
        <v>72</v>
      </c>
      <c r="D43" s="12" t="s">
        <v>224</v>
      </c>
      <c r="E43" s="12" t="s">
        <v>212</v>
      </c>
      <c r="F43" s="12" t="s">
        <v>448</v>
      </c>
      <c r="G43" s="12">
        <v>7</v>
      </c>
      <c r="H43" s="12" t="s">
        <v>214</v>
      </c>
      <c r="I43" s="45">
        <v>44927</v>
      </c>
      <c r="J43" s="45">
        <v>44886</v>
      </c>
      <c r="K43" s="45">
        <v>44872</v>
      </c>
      <c r="L43" s="12" t="s">
        <v>91</v>
      </c>
      <c r="M43" s="12" t="s">
        <v>60</v>
      </c>
      <c r="N43" s="12"/>
      <c r="O43" s="12"/>
      <c r="P43" s="12" t="s">
        <v>449</v>
      </c>
      <c r="Q43" s="12"/>
    </row>
    <row r="44" spans="1:17" ht="26.1" customHeight="1" x14ac:dyDescent="0.25">
      <c r="A44" s="12" t="s">
        <v>450</v>
      </c>
      <c r="B44" s="12" t="s">
        <v>71</v>
      </c>
      <c r="C44" s="12" t="s">
        <v>72</v>
      </c>
      <c r="D44" s="12" t="s">
        <v>224</v>
      </c>
      <c r="E44" s="12" t="s">
        <v>212</v>
      </c>
      <c r="F44" s="12" t="s">
        <v>451</v>
      </c>
      <c r="G44" s="12">
        <v>7</v>
      </c>
      <c r="H44" s="12" t="s">
        <v>214</v>
      </c>
      <c r="I44" s="45">
        <v>44562</v>
      </c>
      <c r="J44" s="45">
        <v>44530</v>
      </c>
      <c r="K44" s="45">
        <v>44636</v>
      </c>
      <c r="L44" s="12" t="s">
        <v>91</v>
      </c>
      <c r="M44" s="12" t="s">
        <v>60</v>
      </c>
      <c r="N44" s="12"/>
      <c r="O44" s="12"/>
      <c r="P44" s="12" t="s">
        <v>452</v>
      </c>
      <c r="Q44" s="12"/>
    </row>
    <row r="45" spans="1:17" ht="26.1" customHeight="1" x14ac:dyDescent="0.25">
      <c r="A45" s="12" t="s">
        <v>453</v>
      </c>
      <c r="B45" s="12" t="s">
        <v>71</v>
      </c>
      <c r="C45" s="12" t="s">
        <v>72</v>
      </c>
      <c r="D45" s="12" t="s">
        <v>232</v>
      </c>
      <c r="E45" s="12" t="s">
        <v>212</v>
      </c>
      <c r="F45" s="12" t="s">
        <v>454</v>
      </c>
      <c r="G45" s="12">
        <v>7</v>
      </c>
      <c r="H45" s="12" t="s">
        <v>214</v>
      </c>
      <c r="I45" s="45">
        <v>44197</v>
      </c>
      <c r="J45" s="45">
        <v>44158</v>
      </c>
      <c r="K45" s="45">
        <v>44134</v>
      </c>
      <c r="L45" s="12" t="s">
        <v>91</v>
      </c>
      <c r="M45" s="12" t="s">
        <v>60</v>
      </c>
      <c r="N45" s="12"/>
      <c r="O45" s="12"/>
      <c r="P45" s="12" t="s">
        <v>455</v>
      </c>
      <c r="Q45" s="12"/>
    </row>
    <row r="46" spans="1:17" ht="26.1" customHeight="1" x14ac:dyDescent="0.25">
      <c r="A46" s="12" t="s">
        <v>456</v>
      </c>
      <c r="B46" s="12" t="s">
        <v>71</v>
      </c>
      <c r="C46" s="12" t="s">
        <v>72</v>
      </c>
      <c r="D46" s="12" t="s">
        <v>236</v>
      </c>
      <c r="E46" s="12" t="s">
        <v>212</v>
      </c>
      <c r="F46" s="12" t="s">
        <v>392</v>
      </c>
      <c r="G46" s="12">
        <v>7</v>
      </c>
      <c r="H46" s="12" t="s">
        <v>214</v>
      </c>
      <c r="I46" s="45">
        <v>43831</v>
      </c>
      <c r="J46" s="45">
        <v>43809</v>
      </c>
      <c r="K46" s="45">
        <v>43819</v>
      </c>
      <c r="L46" s="12" t="s">
        <v>91</v>
      </c>
      <c r="M46" s="12" t="s">
        <v>60</v>
      </c>
      <c r="N46" s="12"/>
      <c r="O46" s="12"/>
      <c r="P46" s="12" t="s">
        <v>457</v>
      </c>
      <c r="Q46" s="12"/>
    </row>
    <row r="47" spans="1:17" ht="143.1" customHeight="1" x14ac:dyDescent="0.25">
      <c r="A47" s="12" t="s">
        <v>458</v>
      </c>
      <c r="B47" s="12" t="s">
        <v>71</v>
      </c>
      <c r="C47" s="12" t="s">
        <v>72</v>
      </c>
      <c r="D47" s="12" t="s">
        <v>55</v>
      </c>
      <c r="E47" s="12" t="s">
        <v>212</v>
      </c>
      <c r="F47" s="12" t="s">
        <v>392</v>
      </c>
      <c r="G47" s="12">
        <v>7</v>
      </c>
      <c r="H47" s="12" t="s">
        <v>214</v>
      </c>
      <c r="I47" s="45">
        <v>43473</v>
      </c>
      <c r="J47" s="45">
        <v>43454</v>
      </c>
      <c r="K47" s="45">
        <v>43472</v>
      </c>
      <c r="L47" s="12" t="s">
        <v>91</v>
      </c>
      <c r="M47" s="12" t="s">
        <v>60</v>
      </c>
      <c r="N47" s="12"/>
      <c r="O47" s="12"/>
      <c r="P47" s="12" t="s">
        <v>459</v>
      </c>
      <c r="Q47" s="12"/>
    </row>
    <row r="48" spans="1:17" ht="65.099999999999994" customHeight="1" x14ac:dyDescent="0.25">
      <c r="A48" s="12" t="s">
        <v>460</v>
      </c>
      <c r="B48" s="12" t="s">
        <v>71</v>
      </c>
      <c r="C48" s="12" t="s">
        <v>72</v>
      </c>
      <c r="D48" s="12" t="s">
        <v>77</v>
      </c>
      <c r="E48" s="12" t="s">
        <v>212</v>
      </c>
      <c r="F48" s="12" t="s">
        <v>461</v>
      </c>
      <c r="G48" s="12">
        <v>9</v>
      </c>
      <c r="H48" s="12" t="s">
        <v>214</v>
      </c>
      <c r="I48" s="45">
        <v>42408</v>
      </c>
      <c r="J48" s="45">
        <v>42387</v>
      </c>
      <c r="K48" s="45">
        <v>42369</v>
      </c>
      <c r="L48" s="12" t="s">
        <v>91</v>
      </c>
      <c r="M48" s="12" t="s">
        <v>60</v>
      </c>
      <c r="N48" s="12"/>
      <c r="O48" s="12"/>
      <c r="P48" s="12" t="s">
        <v>462</v>
      </c>
      <c r="Q48" s="12"/>
    </row>
    <row r="49" spans="1:17" ht="26.1" customHeight="1" x14ac:dyDescent="0.25">
      <c r="A49" s="12" t="s">
        <v>463</v>
      </c>
      <c r="B49" s="12" t="s">
        <v>81</v>
      </c>
      <c r="C49" s="12" t="s">
        <v>82</v>
      </c>
      <c r="D49" s="12" t="s">
        <v>232</v>
      </c>
      <c r="E49" s="12" t="s">
        <v>212</v>
      </c>
      <c r="F49" s="12" t="s">
        <v>464</v>
      </c>
      <c r="G49" s="12">
        <v>5</v>
      </c>
      <c r="H49" s="12" t="s">
        <v>214</v>
      </c>
      <c r="I49" s="45">
        <v>44136</v>
      </c>
      <c r="J49" s="45">
        <v>44036</v>
      </c>
      <c r="K49" s="45">
        <v>44042</v>
      </c>
      <c r="L49" s="12" t="s">
        <v>91</v>
      </c>
      <c r="M49" s="12" t="s">
        <v>215</v>
      </c>
      <c r="N49" s="12" t="s">
        <v>465</v>
      </c>
      <c r="O49" s="12" t="s">
        <v>466</v>
      </c>
      <c r="P49" s="12" t="s">
        <v>467</v>
      </c>
      <c r="Q49" s="12"/>
    </row>
    <row r="50" spans="1:17" ht="26.1" customHeight="1" x14ac:dyDescent="0.25">
      <c r="A50" s="12" t="s">
        <v>468</v>
      </c>
      <c r="B50" s="12" t="s">
        <v>81</v>
      </c>
      <c r="C50" s="12" t="s">
        <v>82</v>
      </c>
      <c r="D50" s="12" t="s">
        <v>232</v>
      </c>
      <c r="E50" s="12" t="s">
        <v>212</v>
      </c>
      <c r="F50" s="12" t="s">
        <v>469</v>
      </c>
      <c r="G50" s="12">
        <v>6</v>
      </c>
      <c r="H50" s="12" t="s">
        <v>214</v>
      </c>
      <c r="I50" s="45">
        <v>44197</v>
      </c>
      <c r="J50" s="45">
        <v>43927</v>
      </c>
      <c r="K50" s="45">
        <v>43928</v>
      </c>
      <c r="L50" s="12" t="s">
        <v>91</v>
      </c>
      <c r="M50" s="12" t="s">
        <v>60</v>
      </c>
      <c r="N50" s="12"/>
      <c r="O50" s="12"/>
      <c r="P50" s="12"/>
      <c r="Q50" s="12"/>
    </row>
    <row r="51" spans="1:17" ht="65.099999999999994" customHeight="1" x14ac:dyDescent="0.25">
      <c r="A51" s="12" t="s">
        <v>470</v>
      </c>
      <c r="B51" s="12" t="s">
        <v>81</v>
      </c>
      <c r="C51" s="12" t="s">
        <v>82</v>
      </c>
      <c r="D51" s="12" t="s">
        <v>236</v>
      </c>
      <c r="E51" s="12" t="s">
        <v>212</v>
      </c>
      <c r="F51" s="12" t="s">
        <v>471</v>
      </c>
      <c r="G51" s="12">
        <v>6</v>
      </c>
      <c r="H51" s="12" t="s">
        <v>214</v>
      </c>
      <c r="I51" s="45">
        <v>43831</v>
      </c>
      <c r="J51" s="45">
        <v>43718</v>
      </c>
      <c r="K51" s="45">
        <v>43719</v>
      </c>
      <c r="L51" s="12" t="s">
        <v>91</v>
      </c>
      <c r="M51" s="12" t="s">
        <v>60</v>
      </c>
      <c r="N51" s="12"/>
      <c r="O51" s="12"/>
      <c r="P51" s="12" t="s">
        <v>472</v>
      </c>
      <c r="Q51" s="12"/>
    </row>
    <row r="52" spans="1:17" ht="117" customHeight="1" x14ac:dyDescent="0.25">
      <c r="A52" s="12" t="s">
        <v>473</v>
      </c>
      <c r="B52" s="12" t="s">
        <v>81</v>
      </c>
      <c r="C52" s="12" t="s">
        <v>82</v>
      </c>
      <c r="D52" s="12" t="s">
        <v>55</v>
      </c>
      <c r="E52" s="12" t="s">
        <v>212</v>
      </c>
      <c r="F52" s="12" t="s">
        <v>474</v>
      </c>
      <c r="G52" s="12">
        <v>5</v>
      </c>
      <c r="H52" s="12" t="s">
        <v>214</v>
      </c>
      <c r="I52" s="45">
        <v>43466</v>
      </c>
      <c r="J52" s="45">
        <v>43368</v>
      </c>
      <c r="K52" s="45">
        <v>43368</v>
      </c>
      <c r="L52" s="12" t="s">
        <v>91</v>
      </c>
      <c r="M52" s="12" t="s">
        <v>60</v>
      </c>
      <c r="N52" s="12"/>
      <c r="O52" s="12"/>
      <c r="P52" s="12" t="s">
        <v>472</v>
      </c>
      <c r="Q52" s="12"/>
    </row>
    <row r="53" spans="1:17" ht="26.1" customHeight="1" x14ac:dyDescent="0.25">
      <c r="A53" s="12" t="s">
        <v>475</v>
      </c>
      <c r="B53" s="12" t="s">
        <v>81</v>
      </c>
      <c r="C53" s="12" t="s">
        <v>82</v>
      </c>
      <c r="D53" s="12" t="s">
        <v>252</v>
      </c>
      <c r="E53" s="12" t="s">
        <v>212</v>
      </c>
      <c r="F53" s="12" t="s">
        <v>476</v>
      </c>
      <c r="G53" s="12">
        <v>5</v>
      </c>
      <c r="H53" s="12" t="s">
        <v>214</v>
      </c>
      <c r="I53" s="45">
        <v>45658</v>
      </c>
      <c r="J53" s="45">
        <v>45355</v>
      </c>
      <c r="K53" s="45">
        <v>45355</v>
      </c>
      <c r="L53" s="12" t="s">
        <v>59</v>
      </c>
      <c r="M53" s="12" t="s">
        <v>60</v>
      </c>
      <c r="N53" s="12"/>
      <c r="O53" s="12"/>
      <c r="P53" s="12"/>
      <c r="Q53" s="12"/>
    </row>
    <row r="54" spans="1:17" ht="39" customHeight="1" x14ac:dyDescent="0.25">
      <c r="A54" s="12" t="s">
        <v>477</v>
      </c>
      <c r="B54" s="12" t="s">
        <v>81</v>
      </c>
      <c r="C54" s="12" t="s">
        <v>82</v>
      </c>
      <c r="D54" s="12" t="s">
        <v>83</v>
      </c>
      <c r="E54" s="12" t="s">
        <v>212</v>
      </c>
      <c r="F54" s="12" t="s">
        <v>471</v>
      </c>
      <c r="G54" s="12">
        <v>6</v>
      </c>
      <c r="H54" s="12" t="s">
        <v>214</v>
      </c>
      <c r="I54" s="45">
        <v>43466</v>
      </c>
      <c r="J54" s="45">
        <v>42920</v>
      </c>
      <c r="K54" s="45">
        <v>42920</v>
      </c>
      <c r="L54" s="12" t="s">
        <v>91</v>
      </c>
      <c r="M54" s="12" t="s">
        <v>215</v>
      </c>
      <c r="N54" s="12" t="s">
        <v>478</v>
      </c>
      <c r="O54" s="12" t="s">
        <v>479</v>
      </c>
      <c r="P54" s="12" t="s">
        <v>472</v>
      </c>
      <c r="Q54" s="12"/>
    </row>
    <row r="55" spans="1:17" ht="39" customHeight="1" x14ac:dyDescent="0.25">
      <c r="A55" s="12" t="s">
        <v>480</v>
      </c>
      <c r="B55" s="12" t="s">
        <v>81</v>
      </c>
      <c r="C55" s="12" t="s">
        <v>82</v>
      </c>
      <c r="D55" s="12" t="s">
        <v>126</v>
      </c>
      <c r="E55" s="12" t="s">
        <v>212</v>
      </c>
      <c r="F55" s="12" t="s">
        <v>481</v>
      </c>
      <c r="G55" s="12">
        <v>6</v>
      </c>
      <c r="H55" s="12" t="s">
        <v>214</v>
      </c>
      <c r="I55" s="45">
        <v>43466</v>
      </c>
      <c r="J55" s="45">
        <v>42681</v>
      </c>
      <c r="K55" s="45">
        <v>42648</v>
      </c>
      <c r="L55" s="12" t="s">
        <v>91</v>
      </c>
      <c r="M55" s="12" t="s">
        <v>60</v>
      </c>
      <c r="N55" s="12"/>
      <c r="O55" s="12"/>
      <c r="P55" s="12" t="s">
        <v>482</v>
      </c>
      <c r="Q55" s="12"/>
    </row>
    <row r="56" spans="1:17" ht="26.1" customHeight="1" x14ac:dyDescent="0.25">
      <c r="A56" s="12" t="s">
        <v>483</v>
      </c>
      <c r="B56" s="12" t="s">
        <v>81</v>
      </c>
      <c r="C56" s="12" t="s">
        <v>82</v>
      </c>
      <c r="D56" s="12" t="s">
        <v>224</v>
      </c>
      <c r="E56" s="12" t="s">
        <v>212</v>
      </c>
      <c r="F56" s="12" t="s">
        <v>484</v>
      </c>
      <c r="G56" s="12">
        <v>6</v>
      </c>
      <c r="H56" s="12" t="s">
        <v>214</v>
      </c>
      <c r="I56" s="45">
        <v>44927</v>
      </c>
      <c r="J56" s="45">
        <v>44867</v>
      </c>
      <c r="K56" s="45">
        <v>44867</v>
      </c>
      <c r="L56" s="12" t="s">
        <v>91</v>
      </c>
      <c r="M56" s="12" t="s">
        <v>60</v>
      </c>
      <c r="N56" s="12"/>
      <c r="O56" s="12"/>
      <c r="P56" s="12" t="s">
        <v>472</v>
      </c>
      <c r="Q56" s="12"/>
    </row>
    <row r="57" spans="1:17" ht="65.099999999999994" customHeight="1" x14ac:dyDescent="0.25">
      <c r="A57" s="12" t="s">
        <v>485</v>
      </c>
      <c r="B57" s="12" t="s">
        <v>81</v>
      </c>
      <c r="C57" s="12" t="s">
        <v>82</v>
      </c>
      <c r="D57" s="12" t="s">
        <v>228</v>
      </c>
      <c r="E57" s="12" t="s">
        <v>212</v>
      </c>
      <c r="F57" s="12" t="s">
        <v>486</v>
      </c>
      <c r="G57" s="12">
        <v>6</v>
      </c>
      <c r="H57" s="12" t="s">
        <v>214</v>
      </c>
      <c r="I57" s="45">
        <v>44562</v>
      </c>
      <c r="J57" s="45">
        <v>44495</v>
      </c>
      <c r="K57" s="45">
        <v>44495</v>
      </c>
      <c r="L57" s="12" t="s">
        <v>91</v>
      </c>
      <c r="M57" s="12" t="s">
        <v>60</v>
      </c>
      <c r="N57" s="12"/>
      <c r="O57" s="12"/>
      <c r="P57" s="12"/>
      <c r="Q57" s="12"/>
    </row>
    <row r="58" spans="1:17" ht="39" customHeight="1" x14ac:dyDescent="0.25">
      <c r="A58" s="12" t="s">
        <v>487</v>
      </c>
      <c r="B58" s="12" t="s">
        <v>81</v>
      </c>
      <c r="C58" s="12" t="s">
        <v>82</v>
      </c>
      <c r="D58" s="12" t="s">
        <v>220</v>
      </c>
      <c r="E58" s="12" t="s">
        <v>212</v>
      </c>
      <c r="F58" s="12" t="s">
        <v>488</v>
      </c>
      <c r="G58" s="12">
        <v>5</v>
      </c>
      <c r="H58" s="12" t="s">
        <v>214</v>
      </c>
      <c r="I58" s="45">
        <v>45292</v>
      </c>
      <c r="J58" s="45">
        <v>45079</v>
      </c>
      <c r="K58" s="45">
        <v>45079</v>
      </c>
      <c r="L58" s="12" t="s">
        <v>91</v>
      </c>
      <c r="M58" s="12" t="s">
        <v>60</v>
      </c>
      <c r="N58" s="12"/>
      <c r="O58" s="12"/>
      <c r="P58" s="12"/>
      <c r="Q58" s="12"/>
    </row>
    <row r="59" spans="1:17" ht="65.099999999999994" customHeight="1" x14ac:dyDescent="0.25">
      <c r="A59" s="12" t="s">
        <v>489</v>
      </c>
      <c r="B59" s="12" t="s">
        <v>81</v>
      </c>
      <c r="C59" s="12" t="s">
        <v>82</v>
      </c>
      <c r="D59" s="12" t="s">
        <v>83</v>
      </c>
      <c r="E59" s="12" t="s">
        <v>212</v>
      </c>
      <c r="F59" s="12" t="s">
        <v>490</v>
      </c>
      <c r="G59" s="12">
        <v>4</v>
      </c>
      <c r="H59" s="12" t="s">
        <v>214</v>
      </c>
      <c r="I59" s="45">
        <v>43009</v>
      </c>
      <c r="J59" s="45">
        <v>42905</v>
      </c>
      <c r="K59" s="45">
        <v>42906</v>
      </c>
      <c r="L59" s="12" t="s">
        <v>91</v>
      </c>
      <c r="M59" s="12" t="s">
        <v>60</v>
      </c>
      <c r="N59" s="12"/>
      <c r="O59" s="12"/>
      <c r="P59" s="12" t="s">
        <v>467</v>
      </c>
      <c r="Q59" s="12"/>
    </row>
    <row r="60" spans="1:17" ht="39" customHeight="1" x14ac:dyDescent="0.25">
      <c r="A60" s="12" t="s">
        <v>491</v>
      </c>
      <c r="B60" s="12" t="s">
        <v>81</v>
      </c>
      <c r="C60" s="12" t="s">
        <v>82</v>
      </c>
      <c r="D60" s="12" t="s">
        <v>55</v>
      </c>
      <c r="E60" s="12" t="s">
        <v>212</v>
      </c>
      <c r="F60" s="12" t="s">
        <v>464</v>
      </c>
      <c r="G60" s="12">
        <v>5</v>
      </c>
      <c r="H60" s="12" t="s">
        <v>214</v>
      </c>
      <c r="I60" s="45">
        <v>43556</v>
      </c>
      <c r="J60" s="45">
        <v>43451</v>
      </c>
      <c r="K60" s="45">
        <v>43454</v>
      </c>
      <c r="L60" s="12" t="s">
        <v>91</v>
      </c>
      <c r="M60" s="12" t="s">
        <v>60</v>
      </c>
      <c r="N60" s="12"/>
      <c r="O60" s="12"/>
      <c r="P60" s="12" t="s">
        <v>467</v>
      </c>
      <c r="Q60" s="12"/>
    </row>
    <row r="61" spans="1:17" ht="26.1" customHeight="1" x14ac:dyDescent="0.25">
      <c r="A61" s="12" t="s">
        <v>492</v>
      </c>
      <c r="B61" s="12" t="s">
        <v>81</v>
      </c>
      <c r="C61" s="12" t="s">
        <v>82</v>
      </c>
      <c r="D61" s="12" t="s">
        <v>126</v>
      </c>
      <c r="E61" s="12" t="s">
        <v>212</v>
      </c>
      <c r="F61" s="12" t="s">
        <v>493</v>
      </c>
      <c r="G61" s="12">
        <v>6</v>
      </c>
      <c r="H61" s="12" t="s">
        <v>214</v>
      </c>
      <c r="I61" s="45">
        <v>42552</v>
      </c>
      <c r="J61" s="45">
        <v>42464</v>
      </c>
      <c r="K61" s="45">
        <v>42475</v>
      </c>
      <c r="L61" s="12" t="s">
        <v>91</v>
      </c>
      <c r="M61" s="12" t="s">
        <v>60</v>
      </c>
      <c r="N61" s="12"/>
      <c r="O61" s="12"/>
      <c r="P61" s="12" t="s">
        <v>494</v>
      </c>
      <c r="Q61" s="12"/>
    </row>
    <row r="62" spans="1:17" ht="26.1" customHeight="1" x14ac:dyDescent="0.25">
      <c r="A62" s="12" t="s">
        <v>495</v>
      </c>
      <c r="B62" s="12" t="s">
        <v>81</v>
      </c>
      <c r="C62" s="12" t="s">
        <v>82</v>
      </c>
      <c r="D62" s="12" t="s">
        <v>77</v>
      </c>
      <c r="E62" s="12" t="s">
        <v>212</v>
      </c>
      <c r="F62" s="12" t="s">
        <v>496</v>
      </c>
      <c r="G62" s="12">
        <v>6</v>
      </c>
      <c r="H62" s="12" t="s">
        <v>214</v>
      </c>
      <c r="I62" s="45">
        <v>43466</v>
      </c>
      <c r="J62" s="45">
        <v>42368</v>
      </c>
      <c r="K62" s="45">
        <v>42369</v>
      </c>
      <c r="L62" s="12" t="s">
        <v>91</v>
      </c>
      <c r="M62" s="12" t="s">
        <v>60</v>
      </c>
      <c r="N62" s="12"/>
      <c r="O62" s="12"/>
      <c r="P62" s="12" t="s">
        <v>494</v>
      </c>
      <c r="Q62" s="12"/>
    </row>
    <row r="63" spans="1:17" ht="26.1" customHeight="1" x14ac:dyDescent="0.25">
      <c r="A63" s="12" t="s">
        <v>497</v>
      </c>
      <c r="B63" s="12" t="s">
        <v>94</v>
      </c>
      <c r="C63" s="12" t="s">
        <v>95</v>
      </c>
      <c r="D63" s="12" t="s">
        <v>252</v>
      </c>
      <c r="E63" s="12" t="s">
        <v>212</v>
      </c>
      <c r="F63" s="12" t="s">
        <v>498</v>
      </c>
      <c r="G63" s="12">
        <v>7</v>
      </c>
      <c r="H63" s="12" t="s">
        <v>214</v>
      </c>
      <c r="I63" s="45">
        <v>45839</v>
      </c>
      <c r="J63" s="45">
        <v>45625</v>
      </c>
      <c r="K63" s="45">
        <v>45594</v>
      </c>
      <c r="L63" s="12" t="s">
        <v>91</v>
      </c>
      <c r="M63" s="12" t="s">
        <v>60</v>
      </c>
      <c r="N63" s="12"/>
      <c r="O63" s="12"/>
      <c r="P63" s="12"/>
      <c r="Q63" s="12"/>
    </row>
    <row r="64" spans="1:17" ht="26.1" customHeight="1" x14ac:dyDescent="0.25">
      <c r="A64" s="12" t="s">
        <v>499</v>
      </c>
      <c r="B64" s="12" t="s">
        <v>94</v>
      </c>
      <c r="C64" s="12" t="s">
        <v>95</v>
      </c>
      <c r="D64" s="12" t="s">
        <v>220</v>
      </c>
      <c r="E64" s="12" t="s">
        <v>212</v>
      </c>
      <c r="F64" s="12" t="s">
        <v>500</v>
      </c>
      <c r="G64" s="12">
        <v>6</v>
      </c>
      <c r="H64" s="12" t="s">
        <v>214</v>
      </c>
      <c r="I64" s="45">
        <v>45292</v>
      </c>
      <c r="J64" s="45">
        <v>45259</v>
      </c>
      <c r="K64" s="45">
        <v>45264</v>
      </c>
      <c r="L64" s="12" t="s">
        <v>59</v>
      </c>
      <c r="M64" s="12" t="s">
        <v>60</v>
      </c>
      <c r="N64" s="12"/>
      <c r="O64" s="12"/>
      <c r="P64" s="12" t="s">
        <v>501</v>
      </c>
      <c r="Q64" s="12"/>
    </row>
    <row r="65" spans="1:17" ht="26.1" customHeight="1" x14ac:dyDescent="0.25">
      <c r="A65" s="12" t="s">
        <v>502</v>
      </c>
      <c r="B65" s="12" t="s">
        <v>94</v>
      </c>
      <c r="C65" s="12" t="s">
        <v>95</v>
      </c>
      <c r="D65" s="12" t="s">
        <v>224</v>
      </c>
      <c r="E65" s="12" t="s">
        <v>212</v>
      </c>
      <c r="F65" s="12" t="s">
        <v>503</v>
      </c>
      <c r="G65" s="12">
        <v>6</v>
      </c>
      <c r="H65" s="12" t="s">
        <v>214</v>
      </c>
      <c r="I65" s="45">
        <v>44927</v>
      </c>
      <c r="J65" s="45">
        <v>44895</v>
      </c>
      <c r="K65" s="45">
        <v>44861</v>
      </c>
      <c r="L65" s="12" t="s">
        <v>91</v>
      </c>
      <c r="M65" s="12" t="s">
        <v>60</v>
      </c>
      <c r="N65" s="12"/>
      <c r="O65" s="12"/>
      <c r="P65" s="12" t="s">
        <v>501</v>
      </c>
      <c r="Q65" s="12"/>
    </row>
    <row r="66" spans="1:17" ht="26.1" customHeight="1" x14ac:dyDescent="0.25">
      <c r="A66" s="12" t="s">
        <v>504</v>
      </c>
      <c r="B66" s="12" t="s">
        <v>94</v>
      </c>
      <c r="C66" s="12" t="s">
        <v>95</v>
      </c>
      <c r="D66" s="12" t="s">
        <v>228</v>
      </c>
      <c r="E66" s="12" t="s">
        <v>212</v>
      </c>
      <c r="F66" s="12" t="s">
        <v>505</v>
      </c>
      <c r="G66" s="12">
        <v>5</v>
      </c>
      <c r="H66" s="12" t="s">
        <v>214</v>
      </c>
      <c r="I66" s="45">
        <v>44470</v>
      </c>
      <c r="J66" s="45">
        <v>44470</v>
      </c>
      <c r="K66" s="45">
        <v>44473</v>
      </c>
      <c r="L66" s="12" t="s">
        <v>91</v>
      </c>
      <c r="M66" s="12" t="s">
        <v>60</v>
      </c>
      <c r="N66" s="12"/>
      <c r="O66" s="12"/>
      <c r="P66" s="12"/>
      <c r="Q66" s="12"/>
    </row>
    <row r="67" spans="1:17" ht="65.099999999999994" customHeight="1" x14ac:dyDescent="0.25">
      <c r="A67" s="12" t="s">
        <v>506</v>
      </c>
      <c r="B67" s="12" t="s">
        <v>94</v>
      </c>
      <c r="C67" s="12" t="s">
        <v>95</v>
      </c>
      <c r="D67" s="12" t="s">
        <v>228</v>
      </c>
      <c r="E67" s="12" t="s">
        <v>212</v>
      </c>
      <c r="F67" s="12" t="s">
        <v>507</v>
      </c>
      <c r="G67" s="12">
        <v>5</v>
      </c>
      <c r="H67" s="12" t="s">
        <v>214</v>
      </c>
      <c r="I67" s="45">
        <v>44375</v>
      </c>
      <c r="J67" s="45">
        <v>44343</v>
      </c>
      <c r="K67" s="45">
        <v>44371</v>
      </c>
      <c r="L67" s="12" t="s">
        <v>91</v>
      </c>
      <c r="M67" s="12" t="s">
        <v>60</v>
      </c>
      <c r="N67" s="12"/>
      <c r="O67" s="12"/>
      <c r="P67" s="12"/>
      <c r="Q67" s="12"/>
    </row>
    <row r="68" spans="1:17" ht="39" customHeight="1" x14ac:dyDescent="0.25">
      <c r="A68" s="12" t="s">
        <v>508</v>
      </c>
      <c r="B68" s="12" t="s">
        <v>94</v>
      </c>
      <c r="C68" s="12" t="s">
        <v>95</v>
      </c>
      <c r="D68" s="12" t="s">
        <v>232</v>
      </c>
      <c r="E68" s="12" t="s">
        <v>212</v>
      </c>
      <c r="F68" s="12" t="s">
        <v>509</v>
      </c>
      <c r="G68" s="12">
        <v>6</v>
      </c>
      <c r="H68" s="12" t="s">
        <v>214</v>
      </c>
      <c r="I68" s="45">
        <v>44197</v>
      </c>
      <c r="J68" s="45">
        <v>44161</v>
      </c>
      <c r="K68" s="45">
        <v>44166</v>
      </c>
      <c r="L68" s="12" t="s">
        <v>91</v>
      </c>
      <c r="M68" s="12" t="s">
        <v>60</v>
      </c>
      <c r="N68" s="12"/>
      <c r="O68" s="12"/>
      <c r="P68" s="12"/>
      <c r="Q68" s="12"/>
    </row>
    <row r="69" spans="1:17" ht="39" customHeight="1" x14ac:dyDescent="0.25">
      <c r="A69" s="12" t="s">
        <v>510</v>
      </c>
      <c r="B69" s="12" t="s">
        <v>94</v>
      </c>
      <c r="C69" s="12" t="s">
        <v>95</v>
      </c>
      <c r="D69" s="12" t="s">
        <v>236</v>
      </c>
      <c r="E69" s="12" t="s">
        <v>212</v>
      </c>
      <c r="F69" s="12" t="s">
        <v>511</v>
      </c>
      <c r="G69" s="12">
        <v>6</v>
      </c>
      <c r="H69" s="12" t="s">
        <v>214</v>
      </c>
      <c r="I69" s="45">
        <v>43831</v>
      </c>
      <c r="J69" s="45">
        <v>43797</v>
      </c>
      <c r="K69" s="45">
        <v>43811</v>
      </c>
      <c r="L69" s="12" t="s">
        <v>91</v>
      </c>
      <c r="M69" s="12" t="s">
        <v>60</v>
      </c>
      <c r="N69" s="12"/>
      <c r="O69" s="12"/>
      <c r="P69" s="12" t="s">
        <v>501</v>
      </c>
      <c r="Q69" s="12"/>
    </row>
    <row r="70" spans="1:17" ht="26.1" customHeight="1" x14ac:dyDescent="0.25">
      <c r="A70" s="12" t="s">
        <v>512</v>
      </c>
      <c r="B70" s="12" t="s">
        <v>94</v>
      </c>
      <c r="C70" s="12" t="s">
        <v>95</v>
      </c>
      <c r="D70" s="12" t="s">
        <v>55</v>
      </c>
      <c r="E70" s="12" t="s">
        <v>212</v>
      </c>
      <c r="F70" s="12" t="s">
        <v>513</v>
      </c>
      <c r="G70" s="12">
        <v>7</v>
      </c>
      <c r="H70" s="12" t="s">
        <v>214</v>
      </c>
      <c r="I70" s="45">
        <v>43466</v>
      </c>
      <c r="J70" s="45">
        <v>43433</v>
      </c>
      <c r="K70" s="45">
        <v>43437</v>
      </c>
      <c r="L70" s="12" t="s">
        <v>91</v>
      </c>
      <c r="M70" s="12" t="s">
        <v>60</v>
      </c>
      <c r="N70" s="12"/>
      <c r="O70" s="12"/>
      <c r="P70" s="12" t="s">
        <v>514</v>
      </c>
      <c r="Q70" s="12"/>
    </row>
    <row r="71" spans="1:17" ht="26.1" customHeight="1" x14ac:dyDescent="0.25">
      <c r="A71" s="12" t="s">
        <v>515</v>
      </c>
      <c r="B71" s="12" t="s">
        <v>94</v>
      </c>
      <c r="C71" s="12" t="s">
        <v>95</v>
      </c>
      <c r="D71" s="12" t="s">
        <v>83</v>
      </c>
      <c r="E71" s="12" t="s">
        <v>212</v>
      </c>
      <c r="F71" s="12" t="s">
        <v>516</v>
      </c>
      <c r="G71" s="12">
        <v>7</v>
      </c>
      <c r="H71" s="12" t="s">
        <v>214</v>
      </c>
      <c r="I71" s="45">
        <v>43101</v>
      </c>
      <c r="J71" s="45">
        <v>43067</v>
      </c>
      <c r="K71" s="45">
        <v>43067</v>
      </c>
      <c r="L71" s="12" t="s">
        <v>91</v>
      </c>
      <c r="M71" s="12" t="s">
        <v>60</v>
      </c>
      <c r="N71" s="12"/>
      <c r="O71" s="12"/>
      <c r="P71" s="12"/>
      <c r="Q71" s="12"/>
    </row>
    <row r="72" spans="1:17" ht="26.1" customHeight="1" x14ac:dyDescent="0.25">
      <c r="A72" s="12" t="s">
        <v>517</v>
      </c>
      <c r="B72" s="12" t="s">
        <v>94</v>
      </c>
      <c r="C72" s="12" t="s">
        <v>95</v>
      </c>
      <c r="D72" s="12" t="s">
        <v>126</v>
      </c>
      <c r="E72" s="12" t="s">
        <v>212</v>
      </c>
      <c r="F72" s="12" t="s">
        <v>518</v>
      </c>
      <c r="G72" s="12">
        <v>7</v>
      </c>
      <c r="H72" s="12" t="s">
        <v>214</v>
      </c>
      <c r="I72" s="45">
        <v>42736</v>
      </c>
      <c r="J72" s="45">
        <v>42697</v>
      </c>
      <c r="K72" s="45">
        <v>42698</v>
      </c>
      <c r="L72" s="12" t="s">
        <v>91</v>
      </c>
      <c r="M72" s="12" t="s">
        <v>60</v>
      </c>
      <c r="N72" s="12"/>
      <c r="O72" s="12"/>
      <c r="P72" s="12" t="s">
        <v>519</v>
      </c>
      <c r="Q72" s="12"/>
    </row>
    <row r="73" spans="1:17" ht="26.1" customHeight="1" x14ac:dyDescent="0.25">
      <c r="A73" s="12" t="s">
        <v>520</v>
      </c>
      <c r="B73" s="12" t="s">
        <v>94</v>
      </c>
      <c r="C73" s="12" t="s">
        <v>95</v>
      </c>
      <c r="D73" s="12" t="s">
        <v>77</v>
      </c>
      <c r="E73" s="12" t="s">
        <v>212</v>
      </c>
      <c r="F73" s="12" t="s">
        <v>521</v>
      </c>
      <c r="G73" s="12">
        <v>7</v>
      </c>
      <c r="H73" s="12" t="s">
        <v>214</v>
      </c>
      <c r="I73" s="45">
        <v>42354</v>
      </c>
      <c r="J73" s="45">
        <v>42327</v>
      </c>
      <c r="K73" s="45">
        <v>42356</v>
      </c>
      <c r="L73" s="12" t="s">
        <v>91</v>
      </c>
      <c r="M73" s="12" t="s">
        <v>60</v>
      </c>
      <c r="N73" s="12"/>
      <c r="O73" s="12"/>
      <c r="P73" s="12"/>
      <c r="Q73" s="12"/>
    </row>
    <row r="74" spans="1:17" ht="26.1" customHeight="1" x14ac:dyDescent="0.25">
      <c r="A74" s="12" t="s">
        <v>522</v>
      </c>
      <c r="B74" s="12" t="s">
        <v>97</v>
      </c>
      <c r="C74" s="12" t="s">
        <v>523</v>
      </c>
      <c r="D74" s="12" t="s">
        <v>126</v>
      </c>
      <c r="E74" s="12" t="s">
        <v>212</v>
      </c>
      <c r="F74" s="12" t="s">
        <v>524</v>
      </c>
      <c r="G74" s="12">
        <v>6</v>
      </c>
      <c r="H74" s="12" t="s">
        <v>214</v>
      </c>
      <c r="I74" s="45">
        <v>42737</v>
      </c>
      <c r="J74" s="45">
        <v>42737</v>
      </c>
      <c r="K74" s="45">
        <v>42766</v>
      </c>
      <c r="L74" s="12" t="s">
        <v>91</v>
      </c>
      <c r="M74" s="12" t="s">
        <v>60</v>
      </c>
      <c r="N74" s="12"/>
      <c r="O74" s="12"/>
      <c r="P74" s="12"/>
      <c r="Q74" s="12"/>
    </row>
    <row r="75" spans="1:17" ht="26.1" customHeight="1" x14ac:dyDescent="0.25">
      <c r="A75" s="12" t="s">
        <v>525</v>
      </c>
      <c r="B75" s="12" t="s">
        <v>97</v>
      </c>
      <c r="C75" s="12" t="s">
        <v>523</v>
      </c>
      <c r="D75" s="12" t="s">
        <v>83</v>
      </c>
      <c r="E75" s="12" t="s">
        <v>212</v>
      </c>
      <c r="F75" s="12" t="s">
        <v>524</v>
      </c>
      <c r="G75" s="12">
        <v>6</v>
      </c>
      <c r="H75" s="12" t="s">
        <v>214</v>
      </c>
      <c r="I75" s="45">
        <v>43101</v>
      </c>
      <c r="J75" s="45">
        <v>42948</v>
      </c>
      <c r="K75" s="45">
        <v>42969</v>
      </c>
      <c r="L75" s="12" t="s">
        <v>91</v>
      </c>
      <c r="M75" s="12" t="s">
        <v>60</v>
      </c>
      <c r="N75" s="12"/>
      <c r="O75" s="12"/>
      <c r="P75" s="12" t="s">
        <v>526</v>
      </c>
      <c r="Q75" s="12"/>
    </row>
    <row r="76" spans="1:17" ht="39" customHeight="1" x14ac:dyDescent="0.25">
      <c r="A76" s="12" t="s">
        <v>527</v>
      </c>
      <c r="B76" s="12" t="s">
        <v>97</v>
      </c>
      <c r="C76" s="12" t="s">
        <v>523</v>
      </c>
      <c r="D76" s="12" t="s">
        <v>55</v>
      </c>
      <c r="E76" s="12" t="s">
        <v>212</v>
      </c>
      <c r="F76" s="12" t="s">
        <v>524</v>
      </c>
      <c r="G76" s="12">
        <v>6</v>
      </c>
      <c r="H76" s="12" t="s">
        <v>214</v>
      </c>
      <c r="I76" s="45">
        <v>43466</v>
      </c>
      <c r="J76" s="45"/>
      <c r="K76" s="45">
        <v>43312</v>
      </c>
      <c r="L76" s="12" t="s">
        <v>91</v>
      </c>
      <c r="M76" s="12" t="s">
        <v>60</v>
      </c>
      <c r="N76" s="12"/>
      <c r="O76" s="12"/>
      <c r="P76" s="12"/>
      <c r="Q76" s="12"/>
    </row>
    <row r="77" spans="1:17" ht="26.1" customHeight="1" x14ac:dyDescent="0.25">
      <c r="A77" s="12" t="s">
        <v>528</v>
      </c>
      <c r="B77" s="12" t="s">
        <v>97</v>
      </c>
      <c r="C77" s="12" t="s">
        <v>523</v>
      </c>
      <c r="D77" s="12" t="s">
        <v>252</v>
      </c>
      <c r="E77" s="12" t="s">
        <v>212</v>
      </c>
      <c r="F77" s="12" t="s">
        <v>529</v>
      </c>
      <c r="G77" s="12">
        <v>8</v>
      </c>
      <c r="H77" s="12" t="s">
        <v>214</v>
      </c>
      <c r="I77" s="45">
        <v>45464</v>
      </c>
      <c r="J77" s="45">
        <v>45464</v>
      </c>
      <c r="K77" s="45">
        <v>45478</v>
      </c>
      <c r="L77" s="12" t="s">
        <v>59</v>
      </c>
      <c r="M77" s="12" t="s">
        <v>60</v>
      </c>
      <c r="N77" s="12"/>
      <c r="O77" s="12"/>
      <c r="P77" s="12"/>
      <c r="Q77" s="12"/>
    </row>
    <row r="78" spans="1:17" ht="39" customHeight="1" x14ac:dyDescent="0.25">
      <c r="A78" s="12" t="s">
        <v>530</v>
      </c>
      <c r="B78" s="12" t="s">
        <v>97</v>
      </c>
      <c r="C78" s="12" t="s">
        <v>523</v>
      </c>
      <c r="D78" s="12" t="s">
        <v>236</v>
      </c>
      <c r="E78" s="12" t="s">
        <v>212</v>
      </c>
      <c r="F78" s="12" t="s">
        <v>531</v>
      </c>
      <c r="G78" s="12">
        <v>7</v>
      </c>
      <c r="H78" s="12" t="s">
        <v>214</v>
      </c>
      <c r="I78" s="45">
        <v>43644</v>
      </c>
      <c r="J78" s="45"/>
      <c r="K78" s="45">
        <v>43655</v>
      </c>
      <c r="L78" s="12" t="s">
        <v>91</v>
      </c>
      <c r="M78" s="12" t="s">
        <v>60</v>
      </c>
      <c r="N78" s="12"/>
      <c r="O78" s="12"/>
      <c r="P78" s="12"/>
      <c r="Q78" s="12"/>
    </row>
    <row r="79" spans="1:17" ht="26.1" customHeight="1" x14ac:dyDescent="0.25">
      <c r="A79" s="12" t="s">
        <v>532</v>
      </c>
      <c r="B79" s="12" t="s">
        <v>97</v>
      </c>
      <c r="C79" s="12" t="s">
        <v>523</v>
      </c>
      <c r="D79" s="12" t="s">
        <v>67</v>
      </c>
      <c r="E79" s="12" t="s">
        <v>212</v>
      </c>
      <c r="F79" s="12" t="s">
        <v>533</v>
      </c>
      <c r="G79" s="12">
        <v>6</v>
      </c>
      <c r="H79" s="12" t="s">
        <v>214</v>
      </c>
      <c r="I79" s="45">
        <v>41809</v>
      </c>
      <c r="J79" s="45">
        <v>41809</v>
      </c>
      <c r="K79" s="45">
        <v>41816</v>
      </c>
      <c r="L79" s="12" t="s">
        <v>91</v>
      </c>
      <c r="M79" s="12" t="s">
        <v>60</v>
      </c>
      <c r="N79" s="12"/>
      <c r="O79" s="12"/>
      <c r="P79" s="12"/>
      <c r="Q79" s="12"/>
    </row>
    <row r="80" spans="1:17" ht="51.95" customHeight="1" x14ac:dyDescent="0.25">
      <c r="A80" s="12" t="s">
        <v>534</v>
      </c>
      <c r="B80" s="12" t="s">
        <v>97</v>
      </c>
      <c r="C80" s="12" t="s">
        <v>523</v>
      </c>
      <c r="D80" s="12" t="s">
        <v>220</v>
      </c>
      <c r="E80" s="12" t="s">
        <v>212</v>
      </c>
      <c r="F80" s="12" t="s">
        <v>535</v>
      </c>
      <c r="G80" s="12">
        <v>9</v>
      </c>
      <c r="H80" s="12" t="s">
        <v>214</v>
      </c>
      <c r="I80" s="45">
        <v>45098</v>
      </c>
      <c r="J80" s="45">
        <v>45098</v>
      </c>
      <c r="K80" s="45">
        <v>45107</v>
      </c>
      <c r="L80" s="12" t="s">
        <v>59</v>
      </c>
      <c r="M80" s="12" t="s">
        <v>60</v>
      </c>
      <c r="N80" s="12"/>
      <c r="O80" s="12"/>
      <c r="P80" s="12"/>
      <c r="Q80" s="12"/>
    </row>
    <row r="81" spans="1:17" ht="39" customHeight="1" x14ac:dyDescent="0.25">
      <c r="A81" s="12" t="s">
        <v>536</v>
      </c>
      <c r="B81" s="12" t="s">
        <v>97</v>
      </c>
      <c r="C81" s="12" t="s">
        <v>523</v>
      </c>
      <c r="D81" s="12" t="s">
        <v>232</v>
      </c>
      <c r="E81" s="12" t="s">
        <v>212</v>
      </c>
      <c r="F81" s="12" t="s">
        <v>531</v>
      </c>
      <c r="G81" s="12">
        <v>7</v>
      </c>
      <c r="H81" s="12" t="s">
        <v>214</v>
      </c>
      <c r="I81" s="45">
        <v>44012</v>
      </c>
      <c r="J81" s="45"/>
      <c r="K81" s="45">
        <v>44020</v>
      </c>
      <c r="L81" s="12" t="s">
        <v>91</v>
      </c>
      <c r="M81" s="12" t="s">
        <v>60</v>
      </c>
      <c r="N81" s="12"/>
      <c r="O81" s="12"/>
      <c r="P81" s="12"/>
      <c r="Q81" s="12"/>
    </row>
    <row r="82" spans="1:17" ht="39" customHeight="1" x14ac:dyDescent="0.25">
      <c r="A82" s="12" t="s">
        <v>537</v>
      </c>
      <c r="B82" s="12" t="s">
        <v>97</v>
      </c>
      <c r="C82" s="12" t="s">
        <v>523</v>
      </c>
      <c r="D82" s="12" t="s">
        <v>232</v>
      </c>
      <c r="E82" s="12" t="s">
        <v>212</v>
      </c>
      <c r="F82" s="12" t="s">
        <v>538</v>
      </c>
      <c r="G82" s="12">
        <v>7</v>
      </c>
      <c r="H82" s="12" t="s">
        <v>214</v>
      </c>
      <c r="I82" s="45">
        <v>44193</v>
      </c>
      <c r="J82" s="45">
        <v>44193</v>
      </c>
      <c r="K82" s="45">
        <v>44308</v>
      </c>
      <c r="L82" s="12" t="s">
        <v>91</v>
      </c>
      <c r="M82" s="12" t="s">
        <v>60</v>
      </c>
      <c r="N82" s="12"/>
      <c r="O82" s="12"/>
      <c r="P82" s="12"/>
      <c r="Q82" s="12"/>
    </row>
    <row r="83" spans="1:17" ht="51.95" customHeight="1" x14ac:dyDescent="0.25">
      <c r="A83" s="12" t="s">
        <v>539</v>
      </c>
      <c r="B83" s="12" t="s">
        <v>97</v>
      </c>
      <c r="C83" s="12" t="s">
        <v>523</v>
      </c>
      <c r="D83" s="12" t="s">
        <v>228</v>
      </c>
      <c r="E83" s="12" t="s">
        <v>212</v>
      </c>
      <c r="F83" s="12" t="s">
        <v>540</v>
      </c>
      <c r="G83" s="12">
        <v>8</v>
      </c>
      <c r="H83" s="12" t="s">
        <v>214</v>
      </c>
      <c r="I83" s="45">
        <v>44372</v>
      </c>
      <c r="J83" s="45">
        <v>44372</v>
      </c>
      <c r="K83" s="45">
        <v>44384</v>
      </c>
      <c r="L83" s="12" t="s">
        <v>91</v>
      </c>
      <c r="M83" s="12" t="s">
        <v>60</v>
      </c>
      <c r="N83" s="12"/>
      <c r="O83" s="12"/>
      <c r="P83" s="12" t="s">
        <v>541</v>
      </c>
      <c r="Q83" s="12"/>
    </row>
    <row r="84" spans="1:17" ht="26.1" customHeight="1" x14ac:dyDescent="0.25">
      <c r="A84" s="12" t="s">
        <v>542</v>
      </c>
      <c r="B84" s="12" t="s">
        <v>97</v>
      </c>
      <c r="C84" s="12" t="s">
        <v>523</v>
      </c>
      <c r="D84" s="12" t="s">
        <v>224</v>
      </c>
      <c r="E84" s="12" t="s">
        <v>212</v>
      </c>
      <c r="F84" s="12" t="s">
        <v>543</v>
      </c>
      <c r="G84" s="12">
        <v>8</v>
      </c>
      <c r="H84" s="12" t="s">
        <v>214</v>
      </c>
      <c r="I84" s="45">
        <v>44732</v>
      </c>
      <c r="J84" s="45">
        <v>44732</v>
      </c>
      <c r="K84" s="45">
        <v>44741</v>
      </c>
      <c r="L84" s="12" t="s">
        <v>91</v>
      </c>
      <c r="M84" s="12" t="s">
        <v>60</v>
      </c>
      <c r="N84" s="12"/>
      <c r="O84" s="12"/>
      <c r="P84" s="12" t="s">
        <v>544</v>
      </c>
      <c r="Q84" s="12"/>
    </row>
    <row r="85" spans="1:17" ht="65.099999999999994" customHeight="1" x14ac:dyDescent="0.25">
      <c r="A85" s="12" t="s">
        <v>545</v>
      </c>
      <c r="B85" s="12" t="s">
        <v>97</v>
      </c>
      <c r="C85" s="12" t="s">
        <v>523</v>
      </c>
      <c r="D85" s="12" t="s">
        <v>126</v>
      </c>
      <c r="E85" s="12" t="s">
        <v>212</v>
      </c>
      <c r="F85" s="12" t="s">
        <v>546</v>
      </c>
      <c r="G85" s="12">
        <v>6</v>
      </c>
      <c r="H85" s="12" t="s">
        <v>214</v>
      </c>
      <c r="I85" s="45">
        <v>42370</v>
      </c>
      <c r="J85" s="45"/>
      <c r="K85" s="45">
        <v>42597</v>
      </c>
      <c r="L85" s="12" t="s">
        <v>91</v>
      </c>
      <c r="M85" s="12" t="s">
        <v>60</v>
      </c>
      <c r="N85" s="12"/>
      <c r="O85" s="12"/>
      <c r="P85" s="12" t="s">
        <v>547</v>
      </c>
      <c r="Q85" s="12"/>
    </row>
    <row r="86" spans="1:17" ht="39" customHeight="1" x14ac:dyDescent="0.25">
      <c r="A86" s="12" t="s">
        <v>548</v>
      </c>
      <c r="B86" s="12" t="s">
        <v>103</v>
      </c>
      <c r="C86" s="12" t="s">
        <v>104</v>
      </c>
      <c r="D86" s="12" t="s">
        <v>77</v>
      </c>
      <c r="E86" s="12" t="s">
        <v>212</v>
      </c>
      <c r="F86" s="12" t="s">
        <v>549</v>
      </c>
      <c r="G86" s="12">
        <v>2</v>
      </c>
      <c r="H86" s="12" t="s">
        <v>550</v>
      </c>
      <c r="I86" s="45">
        <v>42583</v>
      </c>
      <c r="J86" s="45"/>
      <c r="K86" s="45">
        <v>42340</v>
      </c>
      <c r="L86" s="12" t="s">
        <v>91</v>
      </c>
      <c r="M86" s="12" t="s">
        <v>60</v>
      </c>
      <c r="N86" s="12"/>
      <c r="O86" s="12"/>
      <c r="P86" s="12"/>
      <c r="Q86" s="12"/>
    </row>
    <row r="87" spans="1:17" ht="26.1" customHeight="1" x14ac:dyDescent="0.25">
      <c r="A87" s="12" t="s">
        <v>551</v>
      </c>
      <c r="B87" s="12" t="s">
        <v>103</v>
      </c>
      <c r="C87" s="12" t="s">
        <v>104</v>
      </c>
      <c r="D87" s="12" t="s">
        <v>252</v>
      </c>
      <c r="E87" s="12" t="s">
        <v>212</v>
      </c>
      <c r="F87" s="12" t="s">
        <v>552</v>
      </c>
      <c r="G87" s="12">
        <v>6</v>
      </c>
      <c r="H87" s="12" t="s">
        <v>214</v>
      </c>
      <c r="I87" s="45">
        <v>45658</v>
      </c>
      <c r="J87" s="45">
        <v>45593</v>
      </c>
      <c r="K87" s="45">
        <v>45593</v>
      </c>
      <c r="L87" s="12" t="s">
        <v>59</v>
      </c>
      <c r="M87" s="12" t="s">
        <v>60</v>
      </c>
      <c r="N87" s="12"/>
      <c r="O87" s="12"/>
      <c r="P87" s="12"/>
      <c r="Q87" s="12"/>
    </row>
    <row r="88" spans="1:17" ht="26.1" customHeight="1" x14ac:dyDescent="0.25">
      <c r="A88" s="12" t="s">
        <v>553</v>
      </c>
      <c r="B88" s="12" t="s">
        <v>103</v>
      </c>
      <c r="C88" s="12" t="s">
        <v>104</v>
      </c>
      <c r="D88" s="12" t="s">
        <v>126</v>
      </c>
      <c r="E88" s="12" t="s">
        <v>212</v>
      </c>
      <c r="F88" s="12" t="s">
        <v>554</v>
      </c>
      <c r="G88" s="12">
        <v>2</v>
      </c>
      <c r="H88" s="12" t="s">
        <v>214</v>
      </c>
      <c r="I88" s="45">
        <v>42583</v>
      </c>
      <c r="J88" s="45">
        <v>42485</v>
      </c>
      <c r="K88" s="45">
        <v>42486</v>
      </c>
      <c r="L88" s="12" t="s">
        <v>91</v>
      </c>
      <c r="M88" s="12" t="s">
        <v>60</v>
      </c>
      <c r="N88" s="12"/>
      <c r="O88" s="12"/>
      <c r="P88" s="12" t="s">
        <v>555</v>
      </c>
      <c r="Q88" s="12"/>
    </row>
    <row r="89" spans="1:17" ht="26.1" customHeight="1" x14ac:dyDescent="0.25">
      <c r="A89" s="12" t="s">
        <v>556</v>
      </c>
      <c r="B89" s="12" t="s">
        <v>103</v>
      </c>
      <c r="C89" s="12" t="s">
        <v>104</v>
      </c>
      <c r="D89" s="12" t="s">
        <v>220</v>
      </c>
      <c r="E89" s="12" t="s">
        <v>212</v>
      </c>
      <c r="F89" s="12" t="s">
        <v>557</v>
      </c>
      <c r="G89" s="12">
        <v>4</v>
      </c>
      <c r="H89" s="12" t="s">
        <v>214</v>
      </c>
      <c r="I89" s="45">
        <v>45292</v>
      </c>
      <c r="J89" s="45">
        <v>45229</v>
      </c>
      <c r="K89" s="45">
        <v>45229</v>
      </c>
      <c r="L89" s="12" t="s">
        <v>91</v>
      </c>
      <c r="M89" s="12" t="s">
        <v>60</v>
      </c>
      <c r="N89" s="12"/>
      <c r="O89" s="12"/>
      <c r="P89" s="12" t="s">
        <v>558</v>
      </c>
      <c r="Q89" s="12"/>
    </row>
    <row r="90" spans="1:17" ht="26.1" customHeight="1" x14ac:dyDescent="0.25">
      <c r="A90" s="12" t="s">
        <v>559</v>
      </c>
      <c r="B90" s="12" t="s">
        <v>103</v>
      </c>
      <c r="C90" s="12" t="s">
        <v>104</v>
      </c>
      <c r="D90" s="12" t="s">
        <v>126</v>
      </c>
      <c r="E90" s="12" t="s">
        <v>212</v>
      </c>
      <c r="F90" s="12" t="s">
        <v>560</v>
      </c>
      <c r="G90" s="12">
        <v>2</v>
      </c>
      <c r="H90" s="12" t="s">
        <v>214</v>
      </c>
      <c r="I90" s="45">
        <v>42583</v>
      </c>
      <c r="J90" s="45">
        <v>42667</v>
      </c>
      <c r="K90" s="45">
        <v>42668</v>
      </c>
      <c r="L90" s="12" t="s">
        <v>91</v>
      </c>
      <c r="M90" s="12" t="s">
        <v>60</v>
      </c>
      <c r="N90" s="12"/>
      <c r="O90" s="12"/>
      <c r="P90" s="12"/>
      <c r="Q90" s="12"/>
    </row>
    <row r="91" spans="1:17" ht="26.1" customHeight="1" x14ac:dyDescent="0.25">
      <c r="A91" s="12" t="s">
        <v>561</v>
      </c>
      <c r="B91" s="12" t="s">
        <v>103</v>
      </c>
      <c r="C91" s="12" t="s">
        <v>104</v>
      </c>
      <c r="D91" s="12" t="s">
        <v>83</v>
      </c>
      <c r="E91" s="12" t="s">
        <v>212</v>
      </c>
      <c r="F91" s="12" t="s">
        <v>562</v>
      </c>
      <c r="G91" s="12">
        <v>3</v>
      </c>
      <c r="H91" s="12" t="s">
        <v>214</v>
      </c>
      <c r="I91" s="45">
        <v>42583</v>
      </c>
      <c r="J91" s="45">
        <v>43038</v>
      </c>
      <c r="K91" s="45">
        <v>43038</v>
      </c>
      <c r="L91" s="12" t="s">
        <v>91</v>
      </c>
      <c r="M91" s="12" t="s">
        <v>60</v>
      </c>
      <c r="N91" s="12"/>
      <c r="O91" s="12"/>
      <c r="P91" s="12" t="s">
        <v>563</v>
      </c>
      <c r="Q91" s="12"/>
    </row>
    <row r="92" spans="1:17" ht="39" customHeight="1" x14ac:dyDescent="0.25">
      <c r="A92" s="12" t="s">
        <v>564</v>
      </c>
      <c r="B92" s="12" t="s">
        <v>103</v>
      </c>
      <c r="C92" s="12" t="s">
        <v>104</v>
      </c>
      <c r="D92" s="12" t="s">
        <v>55</v>
      </c>
      <c r="E92" s="12" t="s">
        <v>212</v>
      </c>
      <c r="F92" s="12" t="s">
        <v>565</v>
      </c>
      <c r="G92" s="12">
        <v>4</v>
      </c>
      <c r="H92" s="12" t="s">
        <v>214</v>
      </c>
      <c r="I92" s="45">
        <v>43282</v>
      </c>
      <c r="J92" s="45">
        <v>43206</v>
      </c>
      <c r="K92" s="45">
        <v>43207</v>
      </c>
      <c r="L92" s="12" t="s">
        <v>91</v>
      </c>
      <c r="M92" s="12" t="s">
        <v>60</v>
      </c>
      <c r="N92" s="12"/>
      <c r="O92" s="12"/>
      <c r="P92" s="12"/>
      <c r="Q92" s="12"/>
    </row>
    <row r="93" spans="1:17" ht="39" customHeight="1" x14ac:dyDescent="0.25">
      <c r="A93" s="12" t="s">
        <v>566</v>
      </c>
      <c r="B93" s="12" t="s">
        <v>103</v>
      </c>
      <c r="C93" s="12" t="s">
        <v>104</v>
      </c>
      <c r="D93" s="12" t="s">
        <v>236</v>
      </c>
      <c r="E93" s="12" t="s">
        <v>212</v>
      </c>
      <c r="F93" s="12" t="s">
        <v>565</v>
      </c>
      <c r="G93" s="12">
        <v>4</v>
      </c>
      <c r="H93" s="12" t="s">
        <v>214</v>
      </c>
      <c r="I93" s="45">
        <v>43831</v>
      </c>
      <c r="J93" s="45">
        <v>43759</v>
      </c>
      <c r="K93" s="45">
        <v>43759</v>
      </c>
      <c r="L93" s="12" t="s">
        <v>91</v>
      </c>
      <c r="M93" s="12" t="s">
        <v>60</v>
      </c>
      <c r="N93" s="12"/>
      <c r="O93" s="12"/>
      <c r="P93" s="12"/>
      <c r="Q93" s="12"/>
    </row>
    <row r="94" spans="1:17" ht="39" customHeight="1" x14ac:dyDescent="0.25">
      <c r="A94" s="12" t="s">
        <v>567</v>
      </c>
      <c r="B94" s="12" t="s">
        <v>103</v>
      </c>
      <c r="C94" s="12" t="s">
        <v>104</v>
      </c>
      <c r="D94" s="12" t="s">
        <v>232</v>
      </c>
      <c r="E94" s="12" t="s">
        <v>212</v>
      </c>
      <c r="F94" s="12" t="s">
        <v>568</v>
      </c>
      <c r="G94" s="12">
        <v>4</v>
      </c>
      <c r="H94" s="12" t="s">
        <v>214</v>
      </c>
      <c r="I94" s="45">
        <v>44155</v>
      </c>
      <c r="J94" s="45">
        <v>44123</v>
      </c>
      <c r="K94" s="45">
        <v>44124</v>
      </c>
      <c r="L94" s="12" t="s">
        <v>91</v>
      </c>
      <c r="M94" s="12" t="s">
        <v>60</v>
      </c>
      <c r="N94" s="12"/>
      <c r="O94" s="12"/>
      <c r="P94" s="12" t="s">
        <v>569</v>
      </c>
      <c r="Q94" s="12"/>
    </row>
    <row r="95" spans="1:17" ht="26.1" customHeight="1" x14ac:dyDescent="0.25">
      <c r="A95" s="12" t="s">
        <v>570</v>
      </c>
      <c r="B95" s="12" t="s">
        <v>103</v>
      </c>
      <c r="C95" s="12" t="s">
        <v>104</v>
      </c>
      <c r="D95" s="12" t="s">
        <v>228</v>
      </c>
      <c r="E95" s="12" t="s">
        <v>212</v>
      </c>
      <c r="F95" s="12" t="s">
        <v>571</v>
      </c>
      <c r="G95" s="12">
        <v>4</v>
      </c>
      <c r="H95" s="12" t="s">
        <v>214</v>
      </c>
      <c r="I95" s="45">
        <v>44562</v>
      </c>
      <c r="J95" s="45">
        <v>44494</v>
      </c>
      <c r="K95" s="45">
        <v>44494</v>
      </c>
      <c r="L95" s="12" t="s">
        <v>91</v>
      </c>
      <c r="M95" s="12" t="s">
        <v>60</v>
      </c>
      <c r="N95" s="12"/>
      <c r="O95" s="12"/>
      <c r="P95" s="12" t="s">
        <v>572</v>
      </c>
      <c r="Q95" s="12"/>
    </row>
    <row r="96" spans="1:17" ht="26.1" customHeight="1" x14ac:dyDescent="0.25">
      <c r="A96" s="12" t="s">
        <v>573</v>
      </c>
      <c r="B96" s="12" t="s">
        <v>103</v>
      </c>
      <c r="C96" s="12" t="s">
        <v>104</v>
      </c>
      <c r="D96" s="12" t="s">
        <v>224</v>
      </c>
      <c r="E96" s="12" t="s">
        <v>212</v>
      </c>
      <c r="F96" s="12" t="s">
        <v>568</v>
      </c>
      <c r="G96" s="12">
        <v>4</v>
      </c>
      <c r="H96" s="12" t="s">
        <v>214</v>
      </c>
      <c r="I96" s="45">
        <v>44889</v>
      </c>
      <c r="J96" s="45">
        <v>44858</v>
      </c>
      <c r="K96" s="45">
        <v>44858</v>
      </c>
      <c r="L96" s="12" t="s">
        <v>91</v>
      </c>
      <c r="M96" s="12" t="s">
        <v>60</v>
      </c>
      <c r="N96" s="12"/>
      <c r="O96" s="12"/>
      <c r="P96" s="12"/>
      <c r="Q96" s="12"/>
    </row>
    <row r="97" spans="1:17" ht="26.1" customHeight="1" x14ac:dyDescent="0.25">
      <c r="A97" s="12" t="s">
        <v>574</v>
      </c>
      <c r="B97" s="12" t="s">
        <v>106</v>
      </c>
      <c r="C97" s="12" t="s">
        <v>107</v>
      </c>
      <c r="D97" s="12" t="s">
        <v>126</v>
      </c>
      <c r="E97" s="12" t="s">
        <v>212</v>
      </c>
      <c r="F97" s="12" t="s">
        <v>575</v>
      </c>
      <c r="G97" s="12">
        <v>4</v>
      </c>
      <c r="H97" s="12" t="s">
        <v>214</v>
      </c>
      <c r="I97" s="45">
        <v>42736</v>
      </c>
      <c r="J97" s="45"/>
      <c r="K97" s="45">
        <v>42807</v>
      </c>
      <c r="L97" s="12" t="s">
        <v>91</v>
      </c>
      <c r="M97" s="12" t="s">
        <v>60</v>
      </c>
      <c r="N97" s="12"/>
      <c r="O97" s="12"/>
      <c r="P97" s="12"/>
      <c r="Q97" s="12"/>
    </row>
    <row r="98" spans="1:17" ht="26.1" customHeight="1" x14ac:dyDescent="0.25">
      <c r="A98" s="12" t="s">
        <v>576</v>
      </c>
      <c r="B98" s="12" t="s">
        <v>106</v>
      </c>
      <c r="C98" s="12" t="s">
        <v>107</v>
      </c>
      <c r="D98" s="12" t="s">
        <v>83</v>
      </c>
      <c r="E98" s="12" t="s">
        <v>212</v>
      </c>
      <c r="F98" s="12" t="s">
        <v>577</v>
      </c>
      <c r="G98" s="12">
        <v>4</v>
      </c>
      <c r="H98" s="12" t="s">
        <v>214</v>
      </c>
      <c r="I98" s="45">
        <v>43282</v>
      </c>
      <c r="J98" s="45">
        <v>43090</v>
      </c>
      <c r="K98" s="45">
        <v>43060</v>
      </c>
      <c r="L98" s="12" t="s">
        <v>91</v>
      </c>
      <c r="M98" s="12" t="s">
        <v>60</v>
      </c>
      <c r="N98" s="12"/>
      <c r="O98" s="12"/>
      <c r="P98" s="12" t="s">
        <v>578</v>
      </c>
      <c r="Q98" s="12"/>
    </row>
    <row r="99" spans="1:17" ht="26.1" customHeight="1" x14ac:dyDescent="0.25">
      <c r="A99" s="12" t="s">
        <v>579</v>
      </c>
      <c r="B99" s="12" t="s">
        <v>106</v>
      </c>
      <c r="C99" s="12" t="s">
        <v>107</v>
      </c>
      <c r="D99" s="12" t="s">
        <v>55</v>
      </c>
      <c r="E99" s="12" t="s">
        <v>212</v>
      </c>
      <c r="F99" s="12" t="s">
        <v>580</v>
      </c>
      <c r="G99" s="12">
        <v>3</v>
      </c>
      <c r="H99" s="12" t="s">
        <v>214</v>
      </c>
      <c r="I99" s="45">
        <v>43466</v>
      </c>
      <c r="J99" s="45">
        <v>43280</v>
      </c>
      <c r="K99" s="45">
        <v>43249</v>
      </c>
      <c r="L99" s="12" t="s">
        <v>91</v>
      </c>
      <c r="M99" s="12" t="s">
        <v>60</v>
      </c>
      <c r="N99" s="12"/>
      <c r="O99" s="12"/>
      <c r="P99" s="12"/>
      <c r="Q99" s="12"/>
    </row>
    <row r="100" spans="1:17" ht="39" customHeight="1" x14ac:dyDescent="0.25">
      <c r="A100" s="12" t="s">
        <v>581</v>
      </c>
      <c r="B100" s="12" t="s">
        <v>106</v>
      </c>
      <c r="C100" s="12" t="s">
        <v>582</v>
      </c>
      <c r="D100" s="12" t="s">
        <v>236</v>
      </c>
      <c r="E100" s="12" t="s">
        <v>212</v>
      </c>
      <c r="F100" s="12" t="s">
        <v>583</v>
      </c>
      <c r="G100" s="12">
        <v>3</v>
      </c>
      <c r="H100" s="12" t="s">
        <v>214</v>
      </c>
      <c r="I100" s="45">
        <v>43466</v>
      </c>
      <c r="J100" s="45"/>
      <c r="K100" s="45">
        <v>43644</v>
      </c>
      <c r="L100" s="12" t="s">
        <v>91</v>
      </c>
      <c r="M100" s="12" t="s">
        <v>60</v>
      </c>
      <c r="N100" s="12"/>
      <c r="O100" s="12"/>
      <c r="P100" s="12" t="s">
        <v>584</v>
      </c>
      <c r="Q100" s="12"/>
    </row>
    <row r="101" spans="1:17" ht="39" customHeight="1" x14ac:dyDescent="0.25">
      <c r="A101" s="12" t="s">
        <v>585</v>
      </c>
      <c r="B101" s="12" t="s">
        <v>106</v>
      </c>
      <c r="C101" s="12" t="s">
        <v>582</v>
      </c>
      <c r="D101" s="12" t="s">
        <v>232</v>
      </c>
      <c r="E101" s="12" t="s">
        <v>212</v>
      </c>
      <c r="F101" s="12" t="s">
        <v>586</v>
      </c>
      <c r="G101" s="12">
        <v>3</v>
      </c>
      <c r="H101" s="12" t="s">
        <v>214</v>
      </c>
      <c r="I101" s="45">
        <v>43927</v>
      </c>
      <c r="J101" s="45">
        <v>43927</v>
      </c>
      <c r="K101" s="45">
        <v>43910</v>
      </c>
      <c r="L101" s="12" t="s">
        <v>91</v>
      </c>
      <c r="M101" s="12" t="s">
        <v>60</v>
      </c>
      <c r="N101" s="12"/>
      <c r="O101" s="12"/>
      <c r="P101" s="12" t="s">
        <v>587</v>
      </c>
      <c r="Q101" s="12"/>
    </row>
    <row r="102" spans="1:17" ht="39" customHeight="1" x14ac:dyDescent="0.25">
      <c r="A102" s="12" t="s">
        <v>588</v>
      </c>
      <c r="B102" s="12" t="s">
        <v>106</v>
      </c>
      <c r="C102" s="12" t="s">
        <v>582</v>
      </c>
      <c r="D102" s="12" t="s">
        <v>228</v>
      </c>
      <c r="E102" s="12" t="s">
        <v>212</v>
      </c>
      <c r="F102" s="12" t="s">
        <v>589</v>
      </c>
      <c r="G102" s="12">
        <v>3</v>
      </c>
      <c r="H102" s="12" t="s">
        <v>214</v>
      </c>
      <c r="I102" s="45">
        <v>44376</v>
      </c>
      <c r="J102" s="45">
        <v>44340</v>
      </c>
      <c r="K102" s="45">
        <v>44344</v>
      </c>
      <c r="L102" s="12" t="s">
        <v>91</v>
      </c>
      <c r="M102" s="12" t="s">
        <v>60</v>
      </c>
      <c r="N102" s="12"/>
      <c r="O102" s="12"/>
      <c r="P102" s="12"/>
      <c r="Q102" s="12"/>
    </row>
    <row r="103" spans="1:17" ht="51.95" customHeight="1" x14ac:dyDescent="0.25">
      <c r="A103" s="12" t="s">
        <v>590</v>
      </c>
      <c r="B103" s="12" t="s">
        <v>106</v>
      </c>
      <c r="C103" s="12" t="s">
        <v>582</v>
      </c>
      <c r="D103" s="12" t="s">
        <v>224</v>
      </c>
      <c r="E103" s="12" t="s">
        <v>212</v>
      </c>
      <c r="F103" s="12" t="s">
        <v>591</v>
      </c>
      <c r="G103" s="12">
        <v>3</v>
      </c>
      <c r="H103" s="12" t="s">
        <v>214</v>
      </c>
      <c r="I103" s="45">
        <v>44927</v>
      </c>
      <c r="J103" s="45">
        <v>44739</v>
      </c>
      <c r="K103" s="45">
        <v>44706</v>
      </c>
      <c r="L103" s="12" t="s">
        <v>91</v>
      </c>
      <c r="M103" s="12" t="s">
        <v>60</v>
      </c>
      <c r="N103" s="12"/>
      <c r="O103" s="12"/>
      <c r="P103" s="12" t="s">
        <v>592</v>
      </c>
      <c r="Q103" s="12"/>
    </row>
    <row r="104" spans="1:17" ht="51.95" customHeight="1" x14ac:dyDescent="0.25">
      <c r="A104" s="12" t="s">
        <v>593</v>
      </c>
      <c r="B104" s="12" t="s">
        <v>106</v>
      </c>
      <c r="C104" s="12" t="s">
        <v>107</v>
      </c>
      <c r="D104" s="12" t="s">
        <v>77</v>
      </c>
      <c r="E104" s="12" t="s">
        <v>212</v>
      </c>
      <c r="F104" s="12" t="s">
        <v>594</v>
      </c>
      <c r="G104" s="12">
        <v>4</v>
      </c>
      <c r="H104" s="12" t="s">
        <v>550</v>
      </c>
      <c r="I104" s="45">
        <v>42376</v>
      </c>
      <c r="J104" s="45">
        <v>42191</v>
      </c>
      <c r="K104" s="45">
        <v>42153</v>
      </c>
      <c r="L104" s="12" t="s">
        <v>91</v>
      </c>
      <c r="M104" s="12" t="s">
        <v>60</v>
      </c>
      <c r="N104" s="12"/>
      <c r="O104" s="12"/>
      <c r="P104" s="12" t="s">
        <v>595</v>
      </c>
      <c r="Q104" s="12"/>
    </row>
    <row r="105" spans="1:17" ht="51.95" customHeight="1" x14ac:dyDescent="0.25">
      <c r="A105" s="12" t="s">
        <v>596</v>
      </c>
      <c r="B105" s="12" t="s">
        <v>106</v>
      </c>
      <c r="C105" s="12" t="s">
        <v>582</v>
      </c>
      <c r="D105" s="12" t="s">
        <v>220</v>
      </c>
      <c r="E105" s="12" t="s">
        <v>212</v>
      </c>
      <c r="F105" s="12" t="s">
        <v>597</v>
      </c>
      <c r="G105" s="12">
        <v>3</v>
      </c>
      <c r="H105" s="12" t="s">
        <v>214</v>
      </c>
      <c r="I105" s="45">
        <v>45106</v>
      </c>
      <c r="J105" s="45">
        <v>45105</v>
      </c>
      <c r="K105" s="45">
        <v>45127</v>
      </c>
      <c r="L105" s="12" t="s">
        <v>91</v>
      </c>
      <c r="M105" s="12" t="s">
        <v>60</v>
      </c>
      <c r="N105" s="12"/>
      <c r="O105" s="12"/>
      <c r="P105" s="12" t="s">
        <v>598</v>
      </c>
      <c r="Q105" s="12"/>
    </row>
    <row r="106" spans="1:17" ht="51.95" customHeight="1" x14ac:dyDescent="0.25">
      <c r="A106" s="12" t="s">
        <v>599</v>
      </c>
      <c r="B106" s="12" t="s">
        <v>106</v>
      </c>
      <c r="C106" s="12" t="s">
        <v>582</v>
      </c>
      <c r="D106" s="12" t="s">
        <v>252</v>
      </c>
      <c r="E106" s="12" t="s">
        <v>212</v>
      </c>
      <c r="F106" s="12" t="s">
        <v>597</v>
      </c>
      <c r="G106" s="12">
        <v>3</v>
      </c>
      <c r="H106" s="12" t="s">
        <v>214</v>
      </c>
      <c r="I106" s="45">
        <v>45658</v>
      </c>
      <c r="J106" s="45">
        <v>45434</v>
      </c>
      <c r="K106" s="45">
        <v>45439</v>
      </c>
      <c r="L106" s="12" t="s">
        <v>59</v>
      </c>
      <c r="M106" s="12" t="s">
        <v>60</v>
      </c>
      <c r="N106" s="12"/>
      <c r="O106" s="12"/>
      <c r="P106" s="12" t="s">
        <v>592</v>
      </c>
      <c r="Q106" s="12"/>
    </row>
    <row r="107" spans="1:17" ht="26.1" customHeight="1" x14ac:dyDescent="0.25">
      <c r="A107" s="12" t="s">
        <v>600</v>
      </c>
      <c r="B107" s="12" t="s">
        <v>109</v>
      </c>
      <c r="C107" s="12" t="s">
        <v>219</v>
      </c>
      <c r="D107" s="12" t="s">
        <v>252</v>
      </c>
      <c r="E107" s="12" t="s">
        <v>212</v>
      </c>
      <c r="F107" s="12" t="s">
        <v>601</v>
      </c>
      <c r="G107" s="12">
        <v>7</v>
      </c>
      <c r="H107" s="12" t="s">
        <v>214</v>
      </c>
      <c r="I107" s="45">
        <v>46043</v>
      </c>
      <c r="J107" s="45">
        <v>45586</v>
      </c>
      <c r="K107" s="45">
        <v>45625</v>
      </c>
      <c r="L107" s="12" t="s">
        <v>91</v>
      </c>
      <c r="M107" s="12" t="s">
        <v>60</v>
      </c>
      <c r="N107" s="12"/>
      <c r="O107" s="12"/>
      <c r="P107" s="12" t="s">
        <v>602</v>
      </c>
      <c r="Q107" s="12"/>
    </row>
    <row r="108" spans="1:17" ht="51.95" customHeight="1" x14ac:dyDescent="0.25">
      <c r="A108" s="12" t="s">
        <v>603</v>
      </c>
      <c r="B108" s="12" t="s">
        <v>109</v>
      </c>
      <c r="C108" s="12" t="s">
        <v>219</v>
      </c>
      <c r="D108" s="12" t="s">
        <v>77</v>
      </c>
      <c r="E108" s="12" t="s">
        <v>212</v>
      </c>
      <c r="F108" s="12" t="s">
        <v>604</v>
      </c>
      <c r="G108" s="12">
        <v>6</v>
      </c>
      <c r="H108" s="12" t="s">
        <v>550</v>
      </c>
      <c r="I108" s="45">
        <v>42370</v>
      </c>
      <c r="J108" s="45"/>
      <c r="K108" s="45">
        <v>42347</v>
      </c>
      <c r="L108" s="12" t="s">
        <v>91</v>
      </c>
      <c r="M108" s="12" t="s">
        <v>60</v>
      </c>
      <c r="N108" s="12"/>
      <c r="O108" s="12"/>
      <c r="P108" s="12" t="s">
        <v>605</v>
      </c>
      <c r="Q108" s="12"/>
    </row>
    <row r="109" spans="1:17" ht="26.1" customHeight="1" x14ac:dyDescent="0.25">
      <c r="A109" s="12" t="s">
        <v>606</v>
      </c>
      <c r="B109" s="12" t="s">
        <v>109</v>
      </c>
      <c r="C109" s="12" t="s">
        <v>219</v>
      </c>
      <c r="D109" s="12" t="s">
        <v>220</v>
      </c>
      <c r="E109" s="12" t="s">
        <v>212</v>
      </c>
      <c r="F109" s="12" t="s">
        <v>601</v>
      </c>
      <c r="G109" s="12">
        <v>7</v>
      </c>
      <c r="H109" s="12" t="s">
        <v>214</v>
      </c>
      <c r="I109" s="45">
        <v>45658</v>
      </c>
      <c r="J109" s="45">
        <v>45216</v>
      </c>
      <c r="K109" s="45">
        <v>45260</v>
      </c>
      <c r="L109" s="12" t="s">
        <v>59</v>
      </c>
      <c r="M109" s="12" t="s">
        <v>60</v>
      </c>
      <c r="N109" s="12"/>
      <c r="O109" s="12"/>
      <c r="P109" s="12" t="s">
        <v>607</v>
      </c>
      <c r="Q109" s="12"/>
    </row>
    <row r="110" spans="1:17" ht="39" customHeight="1" x14ac:dyDescent="0.25">
      <c r="A110" s="12" t="s">
        <v>608</v>
      </c>
      <c r="B110" s="12" t="s">
        <v>109</v>
      </c>
      <c r="C110" s="12" t="s">
        <v>219</v>
      </c>
      <c r="D110" s="12" t="s">
        <v>224</v>
      </c>
      <c r="E110" s="12" t="s">
        <v>212</v>
      </c>
      <c r="F110" s="12" t="s">
        <v>454</v>
      </c>
      <c r="G110" s="12">
        <v>7</v>
      </c>
      <c r="H110" s="12" t="s">
        <v>214</v>
      </c>
      <c r="I110" s="45">
        <v>45292</v>
      </c>
      <c r="J110" s="45">
        <v>44844</v>
      </c>
      <c r="K110" s="45">
        <v>44811</v>
      </c>
      <c r="L110" s="12" t="s">
        <v>91</v>
      </c>
      <c r="M110" s="12" t="s">
        <v>60</v>
      </c>
      <c r="N110" s="12"/>
      <c r="O110" s="12"/>
      <c r="P110" s="12" t="s">
        <v>609</v>
      </c>
      <c r="Q110" s="12"/>
    </row>
    <row r="111" spans="1:17" ht="65.099999999999994" customHeight="1" x14ac:dyDescent="0.25">
      <c r="A111" s="12" t="s">
        <v>610</v>
      </c>
      <c r="B111" s="12" t="s">
        <v>109</v>
      </c>
      <c r="C111" s="12" t="s">
        <v>219</v>
      </c>
      <c r="D111" s="12" t="s">
        <v>228</v>
      </c>
      <c r="E111" s="12" t="s">
        <v>212</v>
      </c>
      <c r="F111" s="12" t="s">
        <v>611</v>
      </c>
      <c r="G111" s="12">
        <v>7</v>
      </c>
      <c r="H111" s="12" t="s">
        <v>214</v>
      </c>
      <c r="I111" s="45">
        <v>44927</v>
      </c>
      <c r="J111" s="45">
        <v>44470</v>
      </c>
      <c r="K111" s="45">
        <v>44498</v>
      </c>
      <c r="L111" s="12" t="s">
        <v>91</v>
      </c>
      <c r="M111" s="12" t="s">
        <v>60</v>
      </c>
      <c r="N111" s="12"/>
      <c r="O111" s="12"/>
      <c r="P111" s="12" t="s">
        <v>612</v>
      </c>
      <c r="Q111" s="12"/>
    </row>
    <row r="112" spans="1:17" ht="51.95" customHeight="1" x14ac:dyDescent="0.25">
      <c r="A112" s="12" t="s">
        <v>613</v>
      </c>
      <c r="B112" s="12" t="s">
        <v>109</v>
      </c>
      <c r="C112" s="12" t="s">
        <v>219</v>
      </c>
      <c r="D112" s="12" t="s">
        <v>232</v>
      </c>
      <c r="E112" s="12" t="s">
        <v>212</v>
      </c>
      <c r="F112" s="12" t="s">
        <v>454</v>
      </c>
      <c r="G112" s="12">
        <v>7</v>
      </c>
      <c r="H112" s="12" t="s">
        <v>214</v>
      </c>
      <c r="I112" s="45">
        <v>44562</v>
      </c>
      <c r="J112" s="45">
        <v>44111</v>
      </c>
      <c r="K112" s="45">
        <v>44139</v>
      </c>
      <c r="L112" s="12" t="s">
        <v>91</v>
      </c>
      <c r="M112" s="12" t="s">
        <v>60</v>
      </c>
      <c r="N112" s="12"/>
      <c r="O112" s="12"/>
      <c r="P112" s="12" t="s">
        <v>614</v>
      </c>
      <c r="Q112" s="12"/>
    </row>
    <row r="113" spans="1:17" ht="26.1" customHeight="1" x14ac:dyDescent="0.25">
      <c r="A113" s="12" t="s">
        <v>615</v>
      </c>
      <c r="B113" s="12" t="s">
        <v>109</v>
      </c>
      <c r="C113" s="12" t="s">
        <v>219</v>
      </c>
      <c r="D113" s="12" t="s">
        <v>236</v>
      </c>
      <c r="E113" s="12" t="s">
        <v>212</v>
      </c>
      <c r="F113" s="12" t="s">
        <v>616</v>
      </c>
      <c r="G113" s="12">
        <v>6</v>
      </c>
      <c r="H113" s="12" t="s">
        <v>214</v>
      </c>
      <c r="I113" s="45">
        <v>43831</v>
      </c>
      <c r="J113" s="45">
        <v>43755</v>
      </c>
      <c r="K113" s="45">
        <v>43791</v>
      </c>
      <c r="L113" s="12" t="s">
        <v>91</v>
      </c>
      <c r="M113" s="12" t="s">
        <v>60</v>
      </c>
      <c r="N113" s="12"/>
      <c r="O113" s="12"/>
      <c r="P113" s="12" t="s">
        <v>617</v>
      </c>
      <c r="Q113" s="12"/>
    </row>
    <row r="114" spans="1:17" ht="26.1" customHeight="1" x14ac:dyDescent="0.25">
      <c r="A114" s="12" t="s">
        <v>618</v>
      </c>
      <c r="B114" s="12" t="s">
        <v>109</v>
      </c>
      <c r="C114" s="12" t="s">
        <v>219</v>
      </c>
      <c r="D114" s="12" t="s">
        <v>55</v>
      </c>
      <c r="E114" s="12" t="s">
        <v>212</v>
      </c>
      <c r="F114" s="12" t="s">
        <v>390</v>
      </c>
      <c r="G114" s="12">
        <v>6</v>
      </c>
      <c r="H114" s="12" t="s">
        <v>214</v>
      </c>
      <c r="I114" s="45">
        <v>43466</v>
      </c>
      <c r="J114" s="45">
        <v>43390</v>
      </c>
      <c r="K114" s="45">
        <v>43402</v>
      </c>
      <c r="L114" s="12" t="s">
        <v>91</v>
      </c>
      <c r="M114" s="12" t="s">
        <v>60</v>
      </c>
      <c r="N114" s="12"/>
      <c r="O114" s="12"/>
      <c r="P114" s="12" t="s">
        <v>619</v>
      </c>
      <c r="Q114" s="12"/>
    </row>
    <row r="115" spans="1:17" ht="26.1" customHeight="1" x14ac:dyDescent="0.25">
      <c r="A115" s="12" t="s">
        <v>620</v>
      </c>
      <c r="B115" s="12" t="s">
        <v>109</v>
      </c>
      <c r="C115" s="12" t="s">
        <v>219</v>
      </c>
      <c r="D115" s="12" t="s">
        <v>83</v>
      </c>
      <c r="E115" s="12" t="s">
        <v>212</v>
      </c>
      <c r="F115" s="12" t="s">
        <v>390</v>
      </c>
      <c r="G115" s="12">
        <v>6</v>
      </c>
      <c r="H115" s="12" t="s">
        <v>214</v>
      </c>
      <c r="I115" s="45">
        <v>43101</v>
      </c>
      <c r="J115" s="45">
        <v>43062</v>
      </c>
      <c r="K115" s="45">
        <v>43062</v>
      </c>
      <c r="L115" s="12" t="s">
        <v>91</v>
      </c>
      <c r="M115" s="12" t="s">
        <v>60</v>
      </c>
      <c r="N115" s="12"/>
      <c r="O115" s="12"/>
      <c r="P115" s="12" t="s">
        <v>621</v>
      </c>
      <c r="Q115" s="12"/>
    </row>
    <row r="116" spans="1:17" ht="26.1" customHeight="1" x14ac:dyDescent="0.25">
      <c r="A116" s="12" t="s">
        <v>622</v>
      </c>
      <c r="B116" s="12" t="s">
        <v>109</v>
      </c>
      <c r="C116" s="12" t="s">
        <v>219</v>
      </c>
      <c r="D116" s="12" t="s">
        <v>126</v>
      </c>
      <c r="E116" s="12" t="s">
        <v>212</v>
      </c>
      <c r="F116" s="12" t="s">
        <v>390</v>
      </c>
      <c r="G116" s="12">
        <v>6</v>
      </c>
      <c r="H116" s="12" t="s">
        <v>214</v>
      </c>
      <c r="I116" s="45">
        <v>42736</v>
      </c>
      <c r="J116" s="45">
        <v>42695</v>
      </c>
      <c r="K116" s="45">
        <v>42713</v>
      </c>
      <c r="L116" s="12" t="s">
        <v>91</v>
      </c>
      <c r="M116" s="12" t="s">
        <v>60</v>
      </c>
      <c r="N116" s="12"/>
      <c r="O116" s="12"/>
      <c r="P116" s="12" t="s">
        <v>623</v>
      </c>
      <c r="Q116" s="12"/>
    </row>
    <row r="117" spans="1:17" ht="39" customHeight="1" x14ac:dyDescent="0.25">
      <c r="A117" s="12" t="s">
        <v>624</v>
      </c>
      <c r="B117" s="12" t="s">
        <v>112</v>
      </c>
      <c r="C117" s="12" t="s">
        <v>113</v>
      </c>
      <c r="D117" s="12" t="s">
        <v>252</v>
      </c>
      <c r="E117" s="12" t="s">
        <v>212</v>
      </c>
      <c r="F117" s="12" t="s">
        <v>625</v>
      </c>
      <c r="G117" s="12">
        <v>14</v>
      </c>
      <c r="H117" s="12" t="s">
        <v>214</v>
      </c>
      <c r="I117" s="45"/>
      <c r="J117" s="45">
        <v>45628</v>
      </c>
      <c r="K117" s="45">
        <v>45589</v>
      </c>
      <c r="L117" s="12" t="s">
        <v>59</v>
      </c>
      <c r="M117" s="12" t="s">
        <v>60</v>
      </c>
      <c r="N117" s="12"/>
      <c r="O117" s="12"/>
      <c r="P117" s="12"/>
      <c r="Q117" s="12"/>
    </row>
    <row r="118" spans="1:17" ht="143.1" customHeight="1" x14ac:dyDescent="0.25">
      <c r="A118" s="12" t="s">
        <v>626</v>
      </c>
      <c r="B118" s="12" t="s">
        <v>112</v>
      </c>
      <c r="C118" s="12" t="s">
        <v>113</v>
      </c>
      <c r="D118" s="12" t="s">
        <v>220</v>
      </c>
      <c r="E118" s="12" t="s">
        <v>212</v>
      </c>
      <c r="F118" s="12" t="s">
        <v>627</v>
      </c>
      <c r="G118" s="12">
        <v>15</v>
      </c>
      <c r="H118" s="12" t="s">
        <v>214</v>
      </c>
      <c r="I118" s="45">
        <v>45292</v>
      </c>
      <c r="J118" s="45">
        <v>45257</v>
      </c>
      <c r="K118" s="45">
        <v>45243</v>
      </c>
      <c r="L118" s="12" t="s">
        <v>91</v>
      </c>
      <c r="M118" s="12" t="s">
        <v>60</v>
      </c>
      <c r="N118" s="12"/>
      <c r="O118" s="12"/>
      <c r="P118" s="12"/>
      <c r="Q118" s="12"/>
    </row>
    <row r="119" spans="1:17" ht="78" customHeight="1" x14ac:dyDescent="0.25">
      <c r="A119" s="12" t="s">
        <v>628</v>
      </c>
      <c r="B119" s="12" t="s">
        <v>112</v>
      </c>
      <c r="C119" s="12" t="s">
        <v>113</v>
      </c>
      <c r="D119" s="12" t="s">
        <v>126</v>
      </c>
      <c r="E119" s="12" t="s">
        <v>212</v>
      </c>
      <c r="F119" s="12" t="s">
        <v>629</v>
      </c>
      <c r="G119" s="12">
        <v>16</v>
      </c>
      <c r="H119" s="12" t="s">
        <v>550</v>
      </c>
      <c r="I119" s="45">
        <v>42736</v>
      </c>
      <c r="J119" s="45">
        <v>42368</v>
      </c>
      <c r="K119" s="45">
        <v>42566</v>
      </c>
      <c r="L119" s="12" t="s">
        <v>91</v>
      </c>
      <c r="M119" s="12" t="s">
        <v>60</v>
      </c>
      <c r="N119" s="12"/>
      <c r="O119" s="12"/>
      <c r="P119" s="12" t="s">
        <v>630</v>
      </c>
      <c r="Q119" s="12"/>
    </row>
    <row r="120" spans="1:17" ht="26.1" customHeight="1" x14ac:dyDescent="0.25">
      <c r="A120" s="12" t="s">
        <v>631</v>
      </c>
      <c r="B120" s="12" t="s">
        <v>112</v>
      </c>
      <c r="C120" s="12" t="s">
        <v>113</v>
      </c>
      <c r="D120" s="12" t="s">
        <v>228</v>
      </c>
      <c r="E120" s="12" t="s">
        <v>212</v>
      </c>
      <c r="F120" s="12" t="s">
        <v>632</v>
      </c>
      <c r="G120" s="12">
        <v>14</v>
      </c>
      <c r="H120" s="12" t="s">
        <v>214</v>
      </c>
      <c r="I120" s="45">
        <v>44562</v>
      </c>
      <c r="J120" s="45">
        <v>44494</v>
      </c>
      <c r="K120" s="45">
        <v>44494</v>
      </c>
      <c r="L120" s="12" t="s">
        <v>91</v>
      </c>
      <c r="M120" s="12" t="s">
        <v>60</v>
      </c>
      <c r="N120" s="12"/>
      <c r="O120" s="12"/>
      <c r="P120" s="12" t="s">
        <v>633</v>
      </c>
      <c r="Q120" s="12"/>
    </row>
    <row r="121" spans="1:17" ht="26.1" customHeight="1" x14ac:dyDescent="0.25">
      <c r="A121" s="12" t="s">
        <v>634</v>
      </c>
      <c r="B121" s="12" t="s">
        <v>112</v>
      </c>
      <c r="C121" s="12" t="s">
        <v>113</v>
      </c>
      <c r="D121" s="12" t="s">
        <v>224</v>
      </c>
      <c r="E121" s="12" t="s">
        <v>212</v>
      </c>
      <c r="F121" s="12" t="s">
        <v>635</v>
      </c>
      <c r="G121" s="12">
        <v>16</v>
      </c>
      <c r="H121" s="12" t="s">
        <v>214</v>
      </c>
      <c r="I121" s="45">
        <v>44927</v>
      </c>
      <c r="J121" s="45">
        <v>44883</v>
      </c>
      <c r="K121" s="45">
        <v>44869</v>
      </c>
      <c r="L121" s="12" t="s">
        <v>91</v>
      </c>
      <c r="M121" s="12" t="s">
        <v>60</v>
      </c>
      <c r="N121" s="12"/>
      <c r="O121" s="12"/>
      <c r="P121" s="12"/>
      <c r="Q121" s="12"/>
    </row>
    <row r="122" spans="1:17" ht="26.1" customHeight="1" x14ac:dyDescent="0.25">
      <c r="A122" s="12" t="s">
        <v>636</v>
      </c>
      <c r="B122" s="12" t="s">
        <v>112</v>
      </c>
      <c r="C122" s="12" t="s">
        <v>113</v>
      </c>
      <c r="D122" s="12" t="s">
        <v>232</v>
      </c>
      <c r="E122" s="12" t="s">
        <v>212</v>
      </c>
      <c r="F122" s="12" t="s">
        <v>637</v>
      </c>
      <c r="G122" s="12">
        <v>13</v>
      </c>
      <c r="H122" s="12" t="s">
        <v>214</v>
      </c>
      <c r="I122" s="45">
        <v>44197</v>
      </c>
      <c r="J122" s="45">
        <v>44133</v>
      </c>
      <c r="K122" s="45">
        <v>44137</v>
      </c>
      <c r="L122" s="12" t="s">
        <v>91</v>
      </c>
      <c r="M122" s="12" t="s">
        <v>60</v>
      </c>
      <c r="N122" s="12"/>
      <c r="O122" s="12"/>
      <c r="P122" s="12" t="s">
        <v>633</v>
      </c>
      <c r="Q122" s="12"/>
    </row>
    <row r="123" spans="1:17" ht="26.1" customHeight="1" x14ac:dyDescent="0.25">
      <c r="A123" s="12" t="s">
        <v>638</v>
      </c>
      <c r="B123" s="12" t="s">
        <v>112</v>
      </c>
      <c r="C123" s="12" t="s">
        <v>113</v>
      </c>
      <c r="D123" s="12" t="s">
        <v>236</v>
      </c>
      <c r="E123" s="12" t="s">
        <v>212</v>
      </c>
      <c r="F123" s="12" t="s">
        <v>639</v>
      </c>
      <c r="G123" s="12">
        <v>12</v>
      </c>
      <c r="H123" s="12" t="s">
        <v>214</v>
      </c>
      <c r="I123" s="45">
        <v>43831</v>
      </c>
      <c r="J123" s="45">
        <v>43801</v>
      </c>
      <c r="K123" s="45">
        <v>43792</v>
      </c>
      <c r="L123" s="12" t="s">
        <v>91</v>
      </c>
      <c r="M123" s="12" t="s">
        <v>60</v>
      </c>
      <c r="N123" s="12"/>
      <c r="O123" s="12"/>
      <c r="P123" s="12" t="s">
        <v>640</v>
      </c>
      <c r="Q123" s="12"/>
    </row>
    <row r="124" spans="1:17" ht="26.1" customHeight="1" x14ac:dyDescent="0.25">
      <c r="A124" s="12" t="s">
        <v>641</v>
      </c>
      <c r="B124" s="12" t="s">
        <v>112</v>
      </c>
      <c r="C124" s="12" t="s">
        <v>113</v>
      </c>
      <c r="D124" s="12" t="s">
        <v>55</v>
      </c>
      <c r="E124" s="12" t="s">
        <v>212</v>
      </c>
      <c r="F124" s="12" t="s">
        <v>642</v>
      </c>
      <c r="G124" s="12">
        <v>13</v>
      </c>
      <c r="H124" s="12" t="s">
        <v>214</v>
      </c>
      <c r="I124" s="45">
        <v>43466</v>
      </c>
      <c r="J124" s="45">
        <v>43423</v>
      </c>
      <c r="K124" s="45">
        <v>43427</v>
      </c>
      <c r="L124" s="12" t="s">
        <v>91</v>
      </c>
      <c r="M124" s="12" t="s">
        <v>60</v>
      </c>
      <c r="N124" s="12"/>
      <c r="O124" s="12"/>
      <c r="P124" s="12" t="s">
        <v>643</v>
      </c>
      <c r="Q124" s="12"/>
    </row>
    <row r="125" spans="1:17" ht="26.1" customHeight="1" x14ac:dyDescent="0.25">
      <c r="A125" s="12" t="s">
        <v>644</v>
      </c>
      <c r="B125" s="12" t="s">
        <v>112</v>
      </c>
      <c r="C125" s="12" t="s">
        <v>113</v>
      </c>
      <c r="D125" s="12" t="s">
        <v>83</v>
      </c>
      <c r="E125" s="12" t="s">
        <v>212</v>
      </c>
      <c r="F125" s="12" t="s">
        <v>642</v>
      </c>
      <c r="G125" s="12">
        <v>13</v>
      </c>
      <c r="H125" s="12" t="s">
        <v>214</v>
      </c>
      <c r="I125" s="45">
        <v>43101</v>
      </c>
      <c r="J125" s="45">
        <v>43038</v>
      </c>
      <c r="K125" s="45">
        <v>43042</v>
      </c>
      <c r="L125" s="12" t="s">
        <v>91</v>
      </c>
      <c r="M125" s="12" t="s">
        <v>60</v>
      </c>
      <c r="N125" s="12"/>
      <c r="O125" s="12"/>
      <c r="P125" s="12"/>
      <c r="Q125" s="12"/>
    </row>
    <row r="126" spans="1:17" ht="39" customHeight="1" x14ac:dyDescent="0.25">
      <c r="A126" s="12" t="s">
        <v>645</v>
      </c>
      <c r="B126" s="12" t="s">
        <v>112</v>
      </c>
      <c r="C126" s="12" t="s">
        <v>113</v>
      </c>
      <c r="D126" s="12" t="s">
        <v>126</v>
      </c>
      <c r="E126" s="12" t="s">
        <v>212</v>
      </c>
      <c r="F126" s="12" t="s">
        <v>646</v>
      </c>
      <c r="G126" s="12">
        <v>14</v>
      </c>
      <c r="H126" s="12" t="s">
        <v>214</v>
      </c>
      <c r="I126" s="45">
        <v>42736</v>
      </c>
      <c r="J126" s="45">
        <v>42639</v>
      </c>
      <c r="K126" s="45">
        <v>42703</v>
      </c>
      <c r="L126" s="12" t="s">
        <v>91</v>
      </c>
      <c r="M126" s="12" t="s">
        <v>60</v>
      </c>
      <c r="N126" s="12"/>
      <c r="O126" s="12"/>
      <c r="P126" s="12"/>
      <c r="Q126" s="12"/>
    </row>
    <row r="127" spans="1:17" ht="26.1" customHeight="1" x14ac:dyDescent="0.25">
      <c r="A127" s="12" t="s">
        <v>647</v>
      </c>
      <c r="B127" s="12" t="s">
        <v>115</v>
      </c>
      <c r="C127" s="12" t="s">
        <v>116</v>
      </c>
      <c r="D127" s="12" t="s">
        <v>252</v>
      </c>
      <c r="E127" s="12" t="s">
        <v>212</v>
      </c>
      <c r="F127" s="12" t="s">
        <v>648</v>
      </c>
      <c r="G127" s="12">
        <v>4</v>
      </c>
      <c r="H127" s="12" t="s">
        <v>214</v>
      </c>
      <c r="I127" s="45">
        <v>45658</v>
      </c>
      <c r="J127" s="45">
        <v>45551</v>
      </c>
      <c r="K127" s="45">
        <v>45517</v>
      </c>
      <c r="L127" s="12" t="s">
        <v>59</v>
      </c>
      <c r="M127" s="12" t="s">
        <v>60</v>
      </c>
      <c r="N127" s="12"/>
      <c r="O127" s="12"/>
      <c r="P127" s="12"/>
      <c r="Q127" s="12"/>
    </row>
    <row r="128" spans="1:17" ht="26.1" customHeight="1" x14ac:dyDescent="0.25">
      <c r="A128" s="12" t="s">
        <v>649</v>
      </c>
      <c r="B128" s="12" t="s">
        <v>115</v>
      </c>
      <c r="C128" s="12" t="s">
        <v>116</v>
      </c>
      <c r="D128" s="12" t="s">
        <v>126</v>
      </c>
      <c r="E128" s="12" t="s">
        <v>212</v>
      </c>
      <c r="F128" s="12" t="s">
        <v>650</v>
      </c>
      <c r="G128" s="12">
        <v>4</v>
      </c>
      <c r="H128" s="12" t="s">
        <v>550</v>
      </c>
      <c r="I128" s="45">
        <v>43466</v>
      </c>
      <c r="J128" s="45">
        <v>42692</v>
      </c>
      <c r="K128" s="45">
        <v>42674</v>
      </c>
      <c r="L128" s="12" t="s">
        <v>91</v>
      </c>
      <c r="M128" s="12" t="s">
        <v>60</v>
      </c>
      <c r="N128" s="12"/>
      <c r="O128" s="12"/>
      <c r="P128" s="12"/>
      <c r="Q128" s="12"/>
    </row>
    <row r="129" spans="1:17" ht="26.1" customHeight="1" x14ac:dyDescent="0.25">
      <c r="A129" s="12" t="s">
        <v>651</v>
      </c>
      <c r="B129" s="12" t="s">
        <v>115</v>
      </c>
      <c r="C129" s="12" t="s">
        <v>116</v>
      </c>
      <c r="D129" s="12" t="s">
        <v>220</v>
      </c>
      <c r="E129" s="12" t="s">
        <v>212</v>
      </c>
      <c r="F129" s="12" t="s">
        <v>652</v>
      </c>
      <c r="G129" s="12">
        <v>4</v>
      </c>
      <c r="H129" s="12" t="s">
        <v>214</v>
      </c>
      <c r="I129" s="45">
        <v>45292</v>
      </c>
      <c r="J129" s="45">
        <v>45216</v>
      </c>
      <c r="K129" s="45">
        <v>45198</v>
      </c>
      <c r="L129" s="12" t="s">
        <v>59</v>
      </c>
      <c r="M129" s="12" t="s">
        <v>60</v>
      </c>
      <c r="N129" s="12"/>
      <c r="O129" s="12"/>
      <c r="P129" s="12"/>
      <c r="Q129" s="12"/>
    </row>
    <row r="130" spans="1:17" ht="51.95" customHeight="1" x14ac:dyDescent="0.25">
      <c r="A130" s="12" t="s">
        <v>653</v>
      </c>
      <c r="B130" s="12" t="s">
        <v>115</v>
      </c>
      <c r="C130" s="12" t="s">
        <v>116</v>
      </c>
      <c r="D130" s="12" t="s">
        <v>224</v>
      </c>
      <c r="E130" s="12" t="s">
        <v>212</v>
      </c>
      <c r="F130" s="12" t="s">
        <v>654</v>
      </c>
      <c r="G130" s="12">
        <v>4</v>
      </c>
      <c r="H130" s="12" t="s">
        <v>214</v>
      </c>
      <c r="I130" s="45">
        <v>44927</v>
      </c>
      <c r="J130" s="45">
        <v>44825</v>
      </c>
      <c r="K130" s="45">
        <v>44811</v>
      </c>
      <c r="L130" s="12" t="s">
        <v>91</v>
      </c>
      <c r="M130" s="12" t="s">
        <v>60</v>
      </c>
      <c r="N130" s="12"/>
      <c r="O130" s="12"/>
      <c r="P130" s="12"/>
      <c r="Q130" s="12"/>
    </row>
    <row r="131" spans="1:17" ht="39" customHeight="1" x14ac:dyDescent="0.25">
      <c r="A131" s="12" t="s">
        <v>655</v>
      </c>
      <c r="B131" s="12" t="s">
        <v>115</v>
      </c>
      <c r="C131" s="12" t="s">
        <v>116</v>
      </c>
      <c r="D131" s="12" t="s">
        <v>228</v>
      </c>
      <c r="E131" s="12" t="s">
        <v>212</v>
      </c>
      <c r="F131" s="12" t="s">
        <v>656</v>
      </c>
      <c r="G131" s="12">
        <v>4</v>
      </c>
      <c r="H131" s="12" t="s">
        <v>214</v>
      </c>
      <c r="I131" s="45">
        <v>44562</v>
      </c>
      <c r="J131" s="45">
        <v>44529</v>
      </c>
      <c r="K131" s="45">
        <v>44517</v>
      </c>
      <c r="L131" s="12" t="s">
        <v>91</v>
      </c>
      <c r="M131" s="12" t="s">
        <v>60</v>
      </c>
      <c r="N131" s="12"/>
      <c r="O131" s="12"/>
      <c r="P131" s="12"/>
      <c r="Q131" s="12"/>
    </row>
    <row r="132" spans="1:17" ht="26.1" customHeight="1" x14ac:dyDescent="0.25">
      <c r="A132" s="12" t="s">
        <v>657</v>
      </c>
      <c r="B132" s="12" t="s">
        <v>115</v>
      </c>
      <c r="C132" s="12" t="s">
        <v>116</v>
      </c>
      <c r="D132" s="12" t="s">
        <v>232</v>
      </c>
      <c r="E132" s="12" t="s">
        <v>212</v>
      </c>
      <c r="F132" s="12" t="s">
        <v>650</v>
      </c>
      <c r="G132" s="12">
        <v>4</v>
      </c>
      <c r="H132" s="12" t="s">
        <v>214</v>
      </c>
      <c r="I132" s="45">
        <v>44197</v>
      </c>
      <c r="J132" s="45">
        <v>44008</v>
      </c>
      <c r="K132" s="45">
        <v>44232</v>
      </c>
      <c r="L132" s="12" t="s">
        <v>91</v>
      </c>
      <c r="M132" s="12" t="s">
        <v>60</v>
      </c>
      <c r="N132" s="12"/>
      <c r="O132" s="12"/>
      <c r="P132" s="12"/>
      <c r="Q132" s="12"/>
    </row>
    <row r="133" spans="1:17" ht="26.1" customHeight="1" x14ac:dyDescent="0.25">
      <c r="A133" s="12" t="s">
        <v>658</v>
      </c>
      <c r="B133" s="12" t="s">
        <v>115</v>
      </c>
      <c r="C133" s="12" t="s">
        <v>116</v>
      </c>
      <c r="D133" s="12" t="s">
        <v>236</v>
      </c>
      <c r="E133" s="12" t="s">
        <v>212</v>
      </c>
      <c r="F133" s="12" t="s">
        <v>659</v>
      </c>
      <c r="G133" s="12">
        <v>4</v>
      </c>
      <c r="H133" s="12" t="s">
        <v>214</v>
      </c>
      <c r="I133" s="45">
        <v>43831</v>
      </c>
      <c r="J133" s="45">
        <v>43770</v>
      </c>
      <c r="K133" s="45">
        <v>43756</v>
      </c>
      <c r="L133" s="12" t="s">
        <v>91</v>
      </c>
      <c r="M133" s="12" t="s">
        <v>60</v>
      </c>
      <c r="N133" s="12"/>
      <c r="O133" s="12"/>
      <c r="P133" s="12"/>
      <c r="Q133" s="12"/>
    </row>
    <row r="134" spans="1:17" ht="51.95" customHeight="1" x14ac:dyDescent="0.25">
      <c r="A134" s="12" t="s">
        <v>660</v>
      </c>
      <c r="B134" s="12" t="s">
        <v>115</v>
      </c>
      <c r="C134" s="12" t="s">
        <v>116</v>
      </c>
      <c r="D134" s="12" t="s">
        <v>55</v>
      </c>
      <c r="E134" s="12" t="s">
        <v>212</v>
      </c>
      <c r="F134" s="12" t="s">
        <v>650</v>
      </c>
      <c r="G134" s="12">
        <v>4</v>
      </c>
      <c r="H134" s="12" t="s">
        <v>214</v>
      </c>
      <c r="I134" s="45">
        <v>43466</v>
      </c>
      <c r="J134" s="45">
        <v>43403</v>
      </c>
      <c r="K134" s="45">
        <v>43388</v>
      </c>
      <c r="L134" s="12" t="s">
        <v>91</v>
      </c>
      <c r="M134" s="12" t="s">
        <v>60</v>
      </c>
      <c r="N134" s="12"/>
      <c r="O134" s="12"/>
      <c r="P134" s="12"/>
      <c r="Q134" s="12"/>
    </row>
    <row r="135" spans="1:17" ht="26.1" customHeight="1" x14ac:dyDescent="0.25">
      <c r="A135" s="12" t="s">
        <v>661</v>
      </c>
      <c r="B135" s="12" t="s">
        <v>115</v>
      </c>
      <c r="C135" s="12" t="s">
        <v>116</v>
      </c>
      <c r="D135" s="12" t="s">
        <v>83</v>
      </c>
      <c r="E135" s="12" t="s">
        <v>212</v>
      </c>
      <c r="F135" s="12" t="s">
        <v>650</v>
      </c>
      <c r="G135" s="12">
        <v>4</v>
      </c>
      <c r="H135" s="12" t="s">
        <v>214</v>
      </c>
      <c r="I135" s="45">
        <v>43466</v>
      </c>
      <c r="J135" s="45">
        <v>43053</v>
      </c>
      <c r="K135" s="45">
        <v>43194</v>
      </c>
      <c r="L135" s="12" t="s">
        <v>91</v>
      </c>
      <c r="M135" s="12" t="s">
        <v>60</v>
      </c>
      <c r="N135" s="12"/>
      <c r="O135" s="12"/>
      <c r="P135" s="12"/>
      <c r="Q135" s="12"/>
    </row>
    <row r="136" spans="1:17" ht="90.95" customHeight="1" x14ac:dyDescent="0.25">
      <c r="A136" s="12" t="s">
        <v>662</v>
      </c>
      <c r="B136" s="12" t="s">
        <v>115</v>
      </c>
      <c r="C136" s="12" t="s">
        <v>116</v>
      </c>
      <c r="D136" s="12" t="s">
        <v>83</v>
      </c>
      <c r="E136" s="12" t="s">
        <v>212</v>
      </c>
      <c r="F136" s="12" t="s">
        <v>650</v>
      </c>
      <c r="G136" s="12">
        <v>4</v>
      </c>
      <c r="H136" s="12" t="s">
        <v>214</v>
      </c>
      <c r="I136" s="45">
        <v>43466</v>
      </c>
      <c r="J136" s="45">
        <v>43053</v>
      </c>
      <c r="K136" s="45">
        <v>43035</v>
      </c>
      <c r="L136" s="12" t="s">
        <v>91</v>
      </c>
      <c r="M136" s="12" t="s">
        <v>60</v>
      </c>
      <c r="N136" s="12"/>
      <c r="O136" s="12"/>
      <c r="P136" s="12"/>
      <c r="Q136" s="12"/>
    </row>
    <row r="137" spans="1:17" ht="78" customHeight="1" x14ac:dyDescent="0.25">
      <c r="A137" s="12" t="s">
        <v>663</v>
      </c>
      <c r="B137" s="12" t="s">
        <v>121</v>
      </c>
      <c r="C137" s="12" t="s">
        <v>122</v>
      </c>
      <c r="D137" s="12" t="s">
        <v>77</v>
      </c>
      <c r="E137" s="12" t="s">
        <v>212</v>
      </c>
      <c r="F137" s="12" t="s">
        <v>664</v>
      </c>
      <c r="G137" s="12">
        <v>9</v>
      </c>
      <c r="H137" s="12" t="s">
        <v>214</v>
      </c>
      <c r="I137" s="45">
        <v>42736</v>
      </c>
      <c r="J137" s="45">
        <v>42297</v>
      </c>
      <c r="K137" s="45">
        <v>42306</v>
      </c>
      <c r="L137" s="12" t="s">
        <v>91</v>
      </c>
      <c r="M137" s="12" t="s">
        <v>60</v>
      </c>
      <c r="N137" s="12"/>
      <c r="O137" s="12"/>
      <c r="P137" s="12" t="s">
        <v>665</v>
      </c>
      <c r="Q137" s="12"/>
    </row>
    <row r="138" spans="1:17" ht="26.1" customHeight="1" x14ac:dyDescent="0.25">
      <c r="A138" s="12" t="s">
        <v>666</v>
      </c>
      <c r="B138" s="12" t="s">
        <v>121</v>
      </c>
      <c r="C138" s="12" t="s">
        <v>122</v>
      </c>
      <c r="D138" s="12" t="s">
        <v>252</v>
      </c>
      <c r="E138" s="12" t="s">
        <v>212</v>
      </c>
      <c r="F138" s="12" t="s">
        <v>667</v>
      </c>
      <c r="G138" s="12">
        <v>7</v>
      </c>
      <c r="H138" s="12" t="s">
        <v>214</v>
      </c>
      <c r="I138" s="45">
        <v>45658</v>
      </c>
      <c r="J138" s="45">
        <v>45595</v>
      </c>
      <c r="K138" s="45">
        <v>45595</v>
      </c>
      <c r="L138" s="12" t="s">
        <v>59</v>
      </c>
      <c r="M138" s="12" t="s">
        <v>60</v>
      </c>
      <c r="N138" s="12"/>
      <c r="O138" s="12"/>
      <c r="P138" s="12"/>
      <c r="Q138" s="12"/>
    </row>
    <row r="139" spans="1:17" ht="26.1" customHeight="1" x14ac:dyDescent="0.25">
      <c r="A139" s="12" t="s">
        <v>668</v>
      </c>
      <c r="B139" s="12" t="s">
        <v>121</v>
      </c>
      <c r="C139" s="12" t="s">
        <v>122</v>
      </c>
      <c r="D139" s="12" t="s">
        <v>220</v>
      </c>
      <c r="E139" s="12" t="s">
        <v>212</v>
      </c>
      <c r="F139" s="12" t="s">
        <v>669</v>
      </c>
      <c r="G139" s="12">
        <v>7</v>
      </c>
      <c r="H139" s="12" t="s">
        <v>214</v>
      </c>
      <c r="I139" s="45">
        <v>45292</v>
      </c>
      <c r="J139" s="45">
        <v>45230</v>
      </c>
      <c r="K139" s="45">
        <v>45230</v>
      </c>
      <c r="L139" s="12" t="s">
        <v>91</v>
      </c>
      <c r="M139" s="12" t="s">
        <v>60</v>
      </c>
      <c r="N139" s="12"/>
      <c r="O139" s="12"/>
      <c r="P139" s="12"/>
      <c r="Q139" s="12"/>
    </row>
    <row r="140" spans="1:17" ht="26.1" customHeight="1" x14ac:dyDescent="0.25">
      <c r="A140" s="12" t="s">
        <v>670</v>
      </c>
      <c r="B140" s="12" t="s">
        <v>121</v>
      </c>
      <c r="C140" s="12" t="s">
        <v>122</v>
      </c>
      <c r="D140" s="12" t="s">
        <v>224</v>
      </c>
      <c r="E140" s="12" t="s">
        <v>212</v>
      </c>
      <c r="F140" s="12" t="s">
        <v>671</v>
      </c>
      <c r="G140" s="12">
        <v>7</v>
      </c>
      <c r="H140" s="12" t="s">
        <v>214</v>
      </c>
      <c r="I140" s="45">
        <v>44927</v>
      </c>
      <c r="J140" s="45">
        <v>44862</v>
      </c>
      <c r="K140" s="45">
        <v>44863</v>
      </c>
      <c r="L140" s="12" t="s">
        <v>91</v>
      </c>
      <c r="M140" s="12" t="s">
        <v>60</v>
      </c>
      <c r="N140" s="12"/>
      <c r="O140" s="12"/>
      <c r="P140" s="12"/>
      <c r="Q140" s="12"/>
    </row>
    <row r="141" spans="1:17" ht="104.1" customHeight="1" x14ac:dyDescent="0.25">
      <c r="A141" s="12" t="s">
        <v>672</v>
      </c>
      <c r="B141" s="12" t="s">
        <v>121</v>
      </c>
      <c r="C141" s="12" t="s">
        <v>122</v>
      </c>
      <c r="D141" s="12" t="s">
        <v>228</v>
      </c>
      <c r="E141" s="12" t="s">
        <v>212</v>
      </c>
      <c r="F141" s="12" t="s">
        <v>673</v>
      </c>
      <c r="G141" s="12">
        <v>7</v>
      </c>
      <c r="H141" s="12" t="s">
        <v>214</v>
      </c>
      <c r="I141" s="45">
        <v>44562</v>
      </c>
      <c r="J141" s="45">
        <v>44497</v>
      </c>
      <c r="K141" s="45">
        <v>44498</v>
      </c>
      <c r="L141" s="12" t="s">
        <v>91</v>
      </c>
      <c r="M141" s="12" t="s">
        <v>60</v>
      </c>
      <c r="N141" s="12"/>
      <c r="O141" s="12"/>
      <c r="P141" s="12" t="s">
        <v>674</v>
      </c>
      <c r="Q141" s="12"/>
    </row>
    <row r="142" spans="1:17" ht="39" customHeight="1" x14ac:dyDescent="0.25">
      <c r="A142" s="12" t="s">
        <v>675</v>
      </c>
      <c r="B142" s="12" t="s">
        <v>121</v>
      </c>
      <c r="C142" s="12" t="s">
        <v>122</v>
      </c>
      <c r="D142" s="12" t="s">
        <v>232</v>
      </c>
      <c r="E142" s="12" t="s">
        <v>212</v>
      </c>
      <c r="F142" s="12" t="s">
        <v>420</v>
      </c>
      <c r="G142" s="12">
        <v>8</v>
      </c>
      <c r="H142" s="12" t="s">
        <v>214</v>
      </c>
      <c r="I142" s="45">
        <v>44197</v>
      </c>
      <c r="J142" s="45">
        <v>44164</v>
      </c>
      <c r="K142" s="45">
        <v>44134</v>
      </c>
      <c r="L142" s="12" t="s">
        <v>91</v>
      </c>
      <c r="M142" s="12" t="s">
        <v>60</v>
      </c>
      <c r="N142" s="12"/>
      <c r="O142" s="12"/>
      <c r="P142" s="12" t="s">
        <v>676</v>
      </c>
      <c r="Q142" s="12"/>
    </row>
    <row r="143" spans="1:17" ht="51.95" customHeight="1" x14ac:dyDescent="0.25">
      <c r="A143" s="12" t="s">
        <v>677</v>
      </c>
      <c r="B143" s="12" t="s">
        <v>121</v>
      </c>
      <c r="C143" s="12" t="s">
        <v>122</v>
      </c>
      <c r="D143" s="12" t="s">
        <v>232</v>
      </c>
      <c r="E143" s="12" t="s">
        <v>212</v>
      </c>
      <c r="F143" s="12" t="s">
        <v>678</v>
      </c>
      <c r="G143" s="12">
        <v>8</v>
      </c>
      <c r="H143" s="12" t="s">
        <v>214</v>
      </c>
      <c r="I143" s="45">
        <v>44013</v>
      </c>
      <c r="J143" s="45">
        <v>43922</v>
      </c>
      <c r="K143" s="45">
        <v>43943</v>
      </c>
      <c r="L143" s="12" t="s">
        <v>91</v>
      </c>
      <c r="M143" s="12" t="s">
        <v>60</v>
      </c>
      <c r="N143" s="12"/>
      <c r="O143" s="12"/>
      <c r="P143" s="12" t="s">
        <v>679</v>
      </c>
      <c r="Q143" s="12"/>
    </row>
    <row r="144" spans="1:17" ht="143.1" customHeight="1" x14ac:dyDescent="0.25">
      <c r="A144" s="12" t="s">
        <v>680</v>
      </c>
      <c r="B144" s="12" t="s">
        <v>121</v>
      </c>
      <c r="C144" s="12" t="s">
        <v>122</v>
      </c>
      <c r="D144" s="12" t="s">
        <v>236</v>
      </c>
      <c r="E144" s="12" t="s">
        <v>212</v>
      </c>
      <c r="F144" s="12" t="s">
        <v>404</v>
      </c>
      <c r="G144" s="12">
        <v>8</v>
      </c>
      <c r="H144" s="12" t="s">
        <v>214</v>
      </c>
      <c r="I144" s="45">
        <v>43831</v>
      </c>
      <c r="J144" s="45">
        <v>43760</v>
      </c>
      <c r="K144" s="45">
        <v>43767</v>
      </c>
      <c r="L144" s="12" t="s">
        <v>91</v>
      </c>
      <c r="M144" s="12" t="s">
        <v>60</v>
      </c>
      <c r="N144" s="12"/>
      <c r="O144" s="12"/>
      <c r="P144" s="12" t="s">
        <v>681</v>
      </c>
      <c r="Q144" s="12"/>
    </row>
    <row r="145" spans="1:17" ht="104.1" customHeight="1" x14ac:dyDescent="0.25">
      <c r="A145" s="12" t="s">
        <v>682</v>
      </c>
      <c r="B145" s="12" t="s">
        <v>121</v>
      </c>
      <c r="C145" s="12" t="s">
        <v>122</v>
      </c>
      <c r="D145" s="12" t="s">
        <v>55</v>
      </c>
      <c r="E145" s="12" t="s">
        <v>212</v>
      </c>
      <c r="F145" s="12" t="s">
        <v>683</v>
      </c>
      <c r="G145" s="12">
        <v>8</v>
      </c>
      <c r="H145" s="12" t="s">
        <v>214</v>
      </c>
      <c r="I145" s="45">
        <v>43466</v>
      </c>
      <c r="J145" s="45">
        <v>43361</v>
      </c>
      <c r="K145" s="45">
        <v>43369</v>
      </c>
      <c r="L145" s="12" t="s">
        <v>91</v>
      </c>
      <c r="M145" s="12" t="s">
        <v>60</v>
      </c>
      <c r="N145" s="12"/>
      <c r="O145" s="12"/>
      <c r="P145" s="12" t="s">
        <v>684</v>
      </c>
      <c r="Q145" s="12"/>
    </row>
    <row r="146" spans="1:17" ht="39" customHeight="1" x14ac:dyDescent="0.25">
      <c r="A146" s="12" t="s">
        <v>685</v>
      </c>
      <c r="B146" s="12" t="s">
        <v>121</v>
      </c>
      <c r="C146" s="12" t="s">
        <v>122</v>
      </c>
      <c r="D146" s="12" t="s">
        <v>83</v>
      </c>
      <c r="E146" s="12" t="s">
        <v>212</v>
      </c>
      <c r="F146" s="12" t="s">
        <v>683</v>
      </c>
      <c r="G146" s="12">
        <v>8</v>
      </c>
      <c r="H146" s="12" t="s">
        <v>214</v>
      </c>
      <c r="I146" s="45">
        <v>43101</v>
      </c>
      <c r="J146" s="45">
        <v>43028</v>
      </c>
      <c r="K146" s="45">
        <v>43038</v>
      </c>
      <c r="L146" s="12" t="s">
        <v>91</v>
      </c>
      <c r="M146" s="12" t="s">
        <v>60</v>
      </c>
      <c r="N146" s="12"/>
      <c r="O146" s="12"/>
      <c r="P146" s="12"/>
      <c r="Q146" s="12"/>
    </row>
    <row r="147" spans="1:17" ht="39" customHeight="1" x14ac:dyDescent="0.25">
      <c r="A147" s="12" t="s">
        <v>686</v>
      </c>
      <c r="B147" s="12" t="s">
        <v>121</v>
      </c>
      <c r="C147" s="12" t="s">
        <v>122</v>
      </c>
      <c r="D147" s="12" t="s">
        <v>126</v>
      </c>
      <c r="E147" s="12" t="s">
        <v>212</v>
      </c>
      <c r="F147" s="12" t="s">
        <v>687</v>
      </c>
      <c r="G147" s="12">
        <v>8</v>
      </c>
      <c r="H147" s="12" t="s">
        <v>214</v>
      </c>
      <c r="I147" s="45">
        <v>42736</v>
      </c>
      <c r="J147" s="45">
        <v>42633</v>
      </c>
      <c r="K147" s="45">
        <v>42642</v>
      </c>
      <c r="L147" s="12" t="s">
        <v>91</v>
      </c>
      <c r="M147" s="12" t="s">
        <v>60</v>
      </c>
      <c r="N147" s="12"/>
      <c r="O147" s="12"/>
      <c r="P147" s="12" t="s">
        <v>688</v>
      </c>
      <c r="Q147" s="12"/>
    </row>
    <row r="148" spans="1:17" ht="39" customHeight="1" x14ac:dyDescent="0.25">
      <c r="A148" s="12" t="s">
        <v>689</v>
      </c>
      <c r="B148" s="12" t="s">
        <v>124</v>
      </c>
      <c r="C148" s="12" t="s">
        <v>690</v>
      </c>
      <c r="D148" s="12" t="s">
        <v>228</v>
      </c>
      <c r="E148" s="12" t="s">
        <v>212</v>
      </c>
      <c r="F148" s="12" t="s">
        <v>691</v>
      </c>
      <c r="G148" s="12">
        <v>3</v>
      </c>
      <c r="H148" s="12" t="s">
        <v>214</v>
      </c>
      <c r="I148" s="45">
        <v>44468</v>
      </c>
      <c r="J148" s="45">
        <v>44467</v>
      </c>
      <c r="K148" s="45">
        <v>44468</v>
      </c>
      <c r="L148" s="12" t="s">
        <v>91</v>
      </c>
      <c r="M148" s="12" t="s">
        <v>60</v>
      </c>
      <c r="N148" s="12"/>
      <c r="O148" s="12"/>
      <c r="P148" s="12" t="s">
        <v>692</v>
      </c>
      <c r="Q148" s="12"/>
    </row>
    <row r="149" spans="1:17" ht="90.95" customHeight="1" x14ac:dyDescent="0.25">
      <c r="A149" s="12" t="s">
        <v>693</v>
      </c>
      <c r="B149" s="12" t="s">
        <v>124</v>
      </c>
      <c r="C149" s="12" t="s">
        <v>125</v>
      </c>
      <c r="D149" s="12" t="s">
        <v>232</v>
      </c>
      <c r="E149" s="12" t="s">
        <v>212</v>
      </c>
      <c r="F149" s="12" t="s">
        <v>694</v>
      </c>
      <c r="G149" s="12">
        <v>3</v>
      </c>
      <c r="H149" s="12" t="s">
        <v>214</v>
      </c>
      <c r="I149" s="45">
        <v>43929</v>
      </c>
      <c r="J149" s="45">
        <v>43921</v>
      </c>
      <c r="K149" s="45">
        <v>43929</v>
      </c>
      <c r="L149" s="12" t="s">
        <v>91</v>
      </c>
      <c r="M149" s="12" t="s">
        <v>60</v>
      </c>
      <c r="N149" s="12"/>
      <c r="O149" s="12"/>
      <c r="P149" s="12"/>
      <c r="Q149" s="12"/>
    </row>
    <row r="150" spans="1:17" ht="26.1" customHeight="1" x14ac:dyDescent="0.25">
      <c r="A150" s="12" t="s">
        <v>695</v>
      </c>
      <c r="B150" s="12" t="s">
        <v>124</v>
      </c>
      <c r="C150" s="12" t="s">
        <v>125</v>
      </c>
      <c r="D150" s="12" t="s">
        <v>236</v>
      </c>
      <c r="E150" s="12" t="s">
        <v>212</v>
      </c>
      <c r="F150" s="12" t="s">
        <v>694</v>
      </c>
      <c r="G150" s="12">
        <v>3</v>
      </c>
      <c r="H150" s="12" t="s">
        <v>214</v>
      </c>
      <c r="I150" s="45">
        <v>43559</v>
      </c>
      <c r="J150" s="45">
        <v>43559</v>
      </c>
      <c r="K150" s="45">
        <v>43560</v>
      </c>
      <c r="L150" s="12" t="s">
        <v>91</v>
      </c>
      <c r="M150" s="12" t="s">
        <v>60</v>
      </c>
      <c r="N150" s="12"/>
      <c r="O150" s="12"/>
      <c r="P150" s="12"/>
      <c r="Q150" s="12"/>
    </row>
    <row r="151" spans="1:17" ht="26.1" customHeight="1" x14ac:dyDescent="0.25">
      <c r="A151" s="12" t="s">
        <v>696</v>
      </c>
      <c r="B151" s="12" t="s">
        <v>124</v>
      </c>
      <c r="C151" s="12" t="s">
        <v>125</v>
      </c>
      <c r="D151" s="12" t="s">
        <v>55</v>
      </c>
      <c r="E151" s="12" t="s">
        <v>212</v>
      </c>
      <c r="F151" s="12" t="s">
        <v>694</v>
      </c>
      <c r="G151" s="12">
        <v>3</v>
      </c>
      <c r="H151" s="12" t="s">
        <v>214</v>
      </c>
      <c r="I151" s="45">
        <v>43235</v>
      </c>
      <c r="J151" s="45">
        <v>43235</v>
      </c>
      <c r="K151" s="45">
        <v>43236</v>
      </c>
      <c r="L151" s="12" t="s">
        <v>91</v>
      </c>
      <c r="M151" s="12" t="s">
        <v>60</v>
      </c>
      <c r="N151" s="12"/>
      <c r="O151" s="12"/>
      <c r="P151" s="12"/>
      <c r="Q151" s="12"/>
    </row>
    <row r="152" spans="1:17" ht="26.1" customHeight="1" x14ac:dyDescent="0.25">
      <c r="A152" s="12" t="s">
        <v>697</v>
      </c>
      <c r="B152" s="12" t="s">
        <v>124</v>
      </c>
      <c r="C152" s="12" t="s">
        <v>125</v>
      </c>
      <c r="D152" s="12" t="s">
        <v>83</v>
      </c>
      <c r="E152" s="12" t="s">
        <v>212</v>
      </c>
      <c r="F152" s="12" t="s">
        <v>694</v>
      </c>
      <c r="G152" s="12">
        <v>3</v>
      </c>
      <c r="H152" s="12" t="s">
        <v>214</v>
      </c>
      <c r="I152" s="45">
        <v>42461</v>
      </c>
      <c r="J152" s="45">
        <v>42851</v>
      </c>
      <c r="K152" s="45">
        <v>42851</v>
      </c>
      <c r="L152" s="12" t="s">
        <v>91</v>
      </c>
      <c r="M152" s="12" t="s">
        <v>60</v>
      </c>
      <c r="N152" s="12"/>
      <c r="O152" s="12"/>
      <c r="P152" s="12" t="s">
        <v>698</v>
      </c>
      <c r="Q152" s="12"/>
    </row>
    <row r="153" spans="1:17" ht="26.1" customHeight="1" x14ac:dyDescent="0.25">
      <c r="A153" s="12" t="s">
        <v>699</v>
      </c>
      <c r="B153" s="12" t="s">
        <v>124</v>
      </c>
      <c r="C153" s="12" t="s">
        <v>690</v>
      </c>
      <c r="D153" s="12" t="s">
        <v>252</v>
      </c>
      <c r="E153" s="12" t="s">
        <v>212</v>
      </c>
      <c r="F153" s="12" t="s">
        <v>700</v>
      </c>
      <c r="G153" s="12">
        <v>3</v>
      </c>
      <c r="H153" s="12" t="s">
        <v>214</v>
      </c>
      <c r="I153" s="45">
        <v>45631</v>
      </c>
      <c r="J153" s="45">
        <v>45630</v>
      </c>
      <c r="K153" s="45">
        <v>45630</v>
      </c>
      <c r="L153" s="12" t="s">
        <v>59</v>
      </c>
      <c r="M153" s="12" t="s">
        <v>60</v>
      </c>
      <c r="N153" s="12"/>
      <c r="O153" s="12"/>
      <c r="P153" s="12" t="s">
        <v>701</v>
      </c>
      <c r="Q153" s="12"/>
    </row>
    <row r="154" spans="1:17" ht="26.1" customHeight="1" x14ac:dyDescent="0.25">
      <c r="A154" s="12" t="s">
        <v>702</v>
      </c>
      <c r="B154" s="12" t="s">
        <v>124</v>
      </c>
      <c r="C154" s="12" t="s">
        <v>690</v>
      </c>
      <c r="D154" s="12" t="s">
        <v>220</v>
      </c>
      <c r="E154" s="12" t="s">
        <v>212</v>
      </c>
      <c r="F154" s="12" t="s">
        <v>700</v>
      </c>
      <c r="G154" s="12">
        <v>3</v>
      </c>
      <c r="H154" s="12" t="s">
        <v>214</v>
      </c>
      <c r="I154" s="45">
        <v>45266</v>
      </c>
      <c r="J154" s="45">
        <v>45265</v>
      </c>
      <c r="K154" s="45">
        <v>45267</v>
      </c>
      <c r="L154" s="12" t="s">
        <v>59</v>
      </c>
      <c r="M154" s="12" t="s">
        <v>60</v>
      </c>
      <c r="N154" s="12"/>
      <c r="O154" s="12"/>
      <c r="P154" s="12" t="s">
        <v>692</v>
      </c>
      <c r="Q154" s="12"/>
    </row>
    <row r="155" spans="1:17" ht="39" customHeight="1" x14ac:dyDescent="0.25">
      <c r="A155" s="12" t="s">
        <v>703</v>
      </c>
      <c r="B155" s="12" t="s">
        <v>124</v>
      </c>
      <c r="C155" s="12" t="s">
        <v>690</v>
      </c>
      <c r="D155" s="12" t="s">
        <v>224</v>
      </c>
      <c r="E155" s="12" t="s">
        <v>212</v>
      </c>
      <c r="F155" s="12" t="s">
        <v>700</v>
      </c>
      <c r="G155" s="12">
        <v>3</v>
      </c>
      <c r="H155" s="12" t="s">
        <v>214</v>
      </c>
      <c r="I155" s="45">
        <v>44902</v>
      </c>
      <c r="J155" s="45">
        <v>44901</v>
      </c>
      <c r="K155" s="45">
        <v>44902</v>
      </c>
      <c r="L155" s="12" t="s">
        <v>91</v>
      </c>
      <c r="M155" s="12" t="s">
        <v>60</v>
      </c>
      <c r="N155" s="12"/>
      <c r="O155" s="12"/>
      <c r="P155" s="12" t="s">
        <v>692</v>
      </c>
      <c r="Q155" s="12"/>
    </row>
    <row r="156" spans="1:17" ht="26.1" customHeight="1" x14ac:dyDescent="0.25">
      <c r="A156" s="12" t="s">
        <v>704</v>
      </c>
      <c r="B156" s="12" t="s">
        <v>129</v>
      </c>
      <c r="C156" s="12" t="s">
        <v>130</v>
      </c>
      <c r="D156" s="12" t="s">
        <v>232</v>
      </c>
      <c r="E156" s="12" t="s">
        <v>212</v>
      </c>
      <c r="F156" s="12" t="s">
        <v>705</v>
      </c>
      <c r="G156" s="12">
        <v>6</v>
      </c>
      <c r="H156" s="12" t="s">
        <v>214</v>
      </c>
      <c r="I156" s="45">
        <v>44378</v>
      </c>
      <c r="J156" s="45">
        <v>44141</v>
      </c>
      <c r="K156" s="45">
        <v>44127</v>
      </c>
      <c r="L156" s="12" t="s">
        <v>91</v>
      </c>
      <c r="M156" s="12" t="s">
        <v>60</v>
      </c>
      <c r="N156" s="12"/>
      <c r="O156" s="12"/>
      <c r="P156" s="12" t="s">
        <v>706</v>
      </c>
      <c r="Q156" s="12"/>
    </row>
    <row r="157" spans="1:17" ht="26.1" customHeight="1" x14ac:dyDescent="0.25">
      <c r="A157" s="12" t="s">
        <v>707</v>
      </c>
      <c r="B157" s="12" t="s">
        <v>129</v>
      </c>
      <c r="C157" s="12" t="s">
        <v>130</v>
      </c>
      <c r="D157" s="12" t="s">
        <v>252</v>
      </c>
      <c r="E157" s="12" t="s">
        <v>212</v>
      </c>
      <c r="F157" s="12" t="s">
        <v>604</v>
      </c>
      <c r="G157" s="12">
        <v>6</v>
      </c>
      <c r="H157" s="12" t="s">
        <v>214</v>
      </c>
      <c r="I157" s="45">
        <v>45658</v>
      </c>
      <c r="J157" s="45">
        <v>45610</v>
      </c>
      <c r="K157" s="45">
        <v>45590</v>
      </c>
      <c r="L157" s="12" t="s">
        <v>59</v>
      </c>
      <c r="M157" s="12" t="s">
        <v>60</v>
      </c>
      <c r="N157" s="12"/>
      <c r="O157" s="12"/>
      <c r="P157" s="12"/>
      <c r="Q157" s="12"/>
    </row>
    <row r="158" spans="1:17" ht="26.1" customHeight="1" x14ac:dyDescent="0.25">
      <c r="A158" s="12" t="s">
        <v>708</v>
      </c>
      <c r="B158" s="12" t="s">
        <v>129</v>
      </c>
      <c r="C158" s="12" t="s">
        <v>130</v>
      </c>
      <c r="D158" s="12" t="s">
        <v>220</v>
      </c>
      <c r="E158" s="12" t="s">
        <v>212</v>
      </c>
      <c r="F158" s="12" t="s">
        <v>709</v>
      </c>
      <c r="G158" s="12">
        <v>6</v>
      </c>
      <c r="H158" s="12" t="s">
        <v>214</v>
      </c>
      <c r="I158" s="45">
        <v>45292</v>
      </c>
      <c r="J158" s="45">
        <v>45237</v>
      </c>
      <c r="K158" s="45">
        <v>45222</v>
      </c>
      <c r="L158" s="12" t="s">
        <v>91</v>
      </c>
      <c r="M158" s="12" t="s">
        <v>60</v>
      </c>
      <c r="N158" s="12"/>
      <c r="O158" s="12"/>
      <c r="P158" s="12" t="s">
        <v>710</v>
      </c>
      <c r="Q158" s="12"/>
    </row>
    <row r="159" spans="1:17" ht="143.1" customHeight="1" x14ac:dyDescent="0.25">
      <c r="A159" s="12" t="s">
        <v>711</v>
      </c>
      <c r="B159" s="12" t="s">
        <v>129</v>
      </c>
      <c r="C159" s="12" t="s">
        <v>130</v>
      </c>
      <c r="D159" s="12" t="s">
        <v>224</v>
      </c>
      <c r="E159" s="12" t="s">
        <v>212</v>
      </c>
      <c r="F159" s="12" t="s">
        <v>712</v>
      </c>
      <c r="G159" s="12">
        <v>6</v>
      </c>
      <c r="H159" s="12" t="s">
        <v>214</v>
      </c>
      <c r="I159" s="45">
        <v>44562</v>
      </c>
      <c r="J159" s="45">
        <v>44873</v>
      </c>
      <c r="K159" s="45">
        <v>44858</v>
      </c>
      <c r="L159" s="12" t="s">
        <v>91</v>
      </c>
      <c r="M159" s="12" t="s">
        <v>60</v>
      </c>
      <c r="N159" s="12"/>
      <c r="O159" s="12"/>
      <c r="P159" s="12" t="s">
        <v>713</v>
      </c>
      <c r="Q159" s="12"/>
    </row>
    <row r="160" spans="1:17" ht="26.1" customHeight="1" x14ac:dyDescent="0.25">
      <c r="A160" s="12" t="s">
        <v>714</v>
      </c>
      <c r="B160" s="12" t="s">
        <v>129</v>
      </c>
      <c r="C160" s="12" t="s">
        <v>130</v>
      </c>
      <c r="D160" s="12" t="s">
        <v>228</v>
      </c>
      <c r="E160" s="12" t="s">
        <v>212</v>
      </c>
      <c r="F160" s="12" t="s">
        <v>715</v>
      </c>
      <c r="G160" s="12">
        <v>6</v>
      </c>
      <c r="H160" s="12" t="s">
        <v>214</v>
      </c>
      <c r="I160" s="45">
        <v>44562</v>
      </c>
      <c r="J160" s="45">
        <v>44510</v>
      </c>
      <c r="K160" s="45">
        <v>44495</v>
      </c>
      <c r="L160" s="12" t="s">
        <v>91</v>
      </c>
      <c r="M160" s="12" t="s">
        <v>60</v>
      </c>
      <c r="N160" s="12"/>
      <c r="O160" s="12"/>
      <c r="P160" s="12" t="s">
        <v>716</v>
      </c>
      <c r="Q160" s="12"/>
    </row>
    <row r="161" spans="1:17" ht="65.099999999999994" customHeight="1" x14ac:dyDescent="0.25">
      <c r="A161" s="12" t="s">
        <v>717</v>
      </c>
      <c r="B161" s="12" t="s">
        <v>129</v>
      </c>
      <c r="C161" s="12" t="s">
        <v>130</v>
      </c>
      <c r="D161" s="12" t="s">
        <v>236</v>
      </c>
      <c r="E161" s="12" t="s">
        <v>212</v>
      </c>
      <c r="F161" s="12" t="s">
        <v>718</v>
      </c>
      <c r="G161" s="12">
        <v>6</v>
      </c>
      <c r="H161" s="12" t="s">
        <v>214</v>
      </c>
      <c r="I161" s="45">
        <v>44013</v>
      </c>
      <c r="J161" s="45">
        <v>43787</v>
      </c>
      <c r="K161" s="45">
        <v>43773</v>
      </c>
      <c r="L161" s="12" t="s">
        <v>91</v>
      </c>
      <c r="M161" s="12" t="s">
        <v>60</v>
      </c>
      <c r="N161" s="12"/>
      <c r="O161" s="12"/>
      <c r="P161" s="12" t="s">
        <v>719</v>
      </c>
      <c r="Q161" s="12"/>
    </row>
    <row r="162" spans="1:17" ht="39" customHeight="1" x14ac:dyDescent="0.25">
      <c r="A162" s="12" t="s">
        <v>720</v>
      </c>
      <c r="B162" s="12" t="s">
        <v>129</v>
      </c>
      <c r="C162" s="12" t="s">
        <v>130</v>
      </c>
      <c r="D162" s="12" t="s">
        <v>83</v>
      </c>
      <c r="E162" s="12" t="s">
        <v>212</v>
      </c>
      <c r="F162" s="12" t="s">
        <v>604</v>
      </c>
      <c r="G162" s="12">
        <v>6</v>
      </c>
      <c r="H162" s="12" t="s">
        <v>214</v>
      </c>
      <c r="I162" s="45">
        <v>43647</v>
      </c>
      <c r="J162" s="45">
        <v>43032</v>
      </c>
      <c r="K162" s="45">
        <v>43018</v>
      </c>
      <c r="L162" s="12" t="s">
        <v>91</v>
      </c>
      <c r="M162" s="12" t="s">
        <v>60</v>
      </c>
      <c r="N162" s="12"/>
      <c r="O162" s="12"/>
      <c r="P162" s="12" t="s">
        <v>721</v>
      </c>
      <c r="Q162" s="12"/>
    </row>
    <row r="163" spans="1:17" ht="26.1" customHeight="1" x14ac:dyDescent="0.25">
      <c r="A163" s="12" t="s">
        <v>722</v>
      </c>
      <c r="B163" s="12" t="s">
        <v>129</v>
      </c>
      <c r="C163" s="12" t="s">
        <v>130</v>
      </c>
      <c r="D163" s="12" t="s">
        <v>126</v>
      </c>
      <c r="E163" s="12" t="s">
        <v>212</v>
      </c>
      <c r="F163" s="12" t="s">
        <v>667</v>
      </c>
      <c r="G163" s="12">
        <v>7</v>
      </c>
      <c r="H163" s="12" t="s">
        <v>214</v>
      </c>
      <c r="I163" s="45">
        <v>43647</v>
      </c>
      <c r="J163" s="45">
        <v>42683</v>
      </c>
      <c r="K163" s="45">
        <v>42655</v>
      </c>
      <c r="L163" s="12" t="s">
        <v>91</v>
      </c>
      <c r="M163" s="12" t="s">
        <v>60</v>
      </c>
      <c r="N163" s="12"/>
      <c r="O163" s="12"/>
      <c r="P163" s="12" t="s">
        <v>723</v>
      </c>
      <c r="Q163" s="12"/>
    </row>
    <row r="164" spans="1:17" ht="26.1" customHeight="1" x14ac:dyDescent="0.25">
      <c r="A164" s="12" t="s">
        <v>724</v>
      </c>
      <c r="B164" s="12" t="s">
        <v>129</v>
      </c>
      <c r="C164" s="12" t="s">
        <v>130</v>
      </c>
      <c r="D164" s="12" t="s">
        <v>55</v>
      </c>
      <c r="E164" s="12" t="s">
        <v>212</v>
      </c>
      <c r="F164" s="12" t="s">
        <v>725</v>
      </c>
      <c r="G164" s="12">
        <v>6</v>
      </c>
      <c r="H164" s="12" t="s">
        <v>214</v>
      </c>
      <c r="I164" s="45">
        <v>43647</v>
      </c>
      <c r="J164" s="45">
        <v>43399</v>
      </c>
      <c r="K164" s="45">
        <v>43385</v>
      </c>
      <c r="L164" s="12" t="s">
        <v>91</v>
      </c>
      <c r="M164" s="12" t="s">
        <v>60</v>
      </c>
      <c r="N164" s="12"/>
      <c r="O164" s="12"/>
      <c r="P164" s="12" t="s">
        <v>726</v>
      </c>
      <c r="Q164" s="12"/>
    </row>
    <row r="165" spans="1:17" ht="26.1" customHeight="1" x14ac:dyDescent="0.25">
      <c r="A165" s="12" t="s">
        <v>727</v>
      </c>
      <c r="B165" s="12" t="s">
        <v>129</v>
      </c>
      <c r="C165" s="12" t="s">
        <v>130</v>
      </c>
      <c r="D165" s="12" t="s">
        <v>77</v>
      </c>
      <c r="E165" s="12" t="s">
        <v>212</v>
      </c>
      <c r="F165" s="12" t="s">
        <v>728</v>
      </c>
      <c r="G165" s="12">
        <v>2</v>
      </c>
      <c r="H165" s="12" t="s">
        <v>550</v>
      </c>
      <c r="I165" s="45">
        <v>43647</v>
      </c>
      <c r="J165" s="45"/>
      <c r="K165" s="45">
        <v>42317</v>
      </c>
      <c r="L165" s="12" t="s">
        <v>91</v>
      </c>
      <c r="M165" s="12" t="s">
        <v>60</v>
      </c>
      <c r="N165" s="12"/>
      <c r="O165" s="12"/>
      <c r="P165" s="12" t="s">
        <v>729</v>
      </c>
      <c r="Q165" s="12"/>
    </row>
    <row r="166" spans="1:17" ht="26.1" customHeight="1" x14ac:dyDescent="0.25">
      <c r="A166" s="12" t="s">
        <v>730</v>
      </c>
      <c r="B166" s="12" t="s">
        <v>132</v>
      </c>
      <c r="C166" s="12" t="s">
        <v>133</v>
      </c>
      <c r="D166" s="12" t="s">
        <v>77</v>
      </c>
      <c r="E166" s="12" t="s">
        <v>212</v>
      </c>
      <c r="F166" s="12" t="s">
        <v>731</v>
      </c>
      <c r="G166" s="12">
        <v>3</v>
      </c>
      <c r="H166" s="12" t="s">
        <v>550</v>
      </c>
      <c r="I166" s="45">
        <v>42370</v>
      </c>
      <c r="J166" s="45">
        <v>42368</v>
      </c>
      <c r="K166" s="45">
        <v>42352</v>
      </c>
      <c r="L166" s="12" t="s">
        <v>91</v>
      </c>
      <c r="M166" s="12" t="s">
        <v>60</v>
      </c>
      <c r="N166" s="12"/>
      <c r="O166" s="12"/>
      <c r="P166" s="12" t="s">
        <v>732</v>
      </c>
      <c r="Q166" s="12"/>
    </row>
    <row r="167" spans="1:17" ht="26.1" customHeight="1" x14ac:dyDescent="0.25">
      <c r="A167" s="12" t="s">
        <v>733</v>
      </c>
      <c r="B167" s="12" t="s">
        <v>132</v>
      </c>
      <c r="C167" s="12" t="s">
        <v>133</v>
      </c>
      <c r="D167" s="12" t="s">
        <v>252</v>
      </c>
      <c r="E167" s="12" t="s">
        <v>212</v>
      </c>
      <c r="F167" s="12" t="s">
        <v>734</v>
      </c>
      <c r="G167" s="12">
        <v>7</v>
      </c>
      <c r="H167" s="12" t="s">
        <v>214</v>
      </c>
      <c r="I167" s="45">
        <v>45658</v>
      </c>
      <c r="J167" s="45">
        <v>45587</v>
      </c>
      <c r="K167" s="45">
        <v>45587</v>
      </c>
      <c r="L167" s="12" t="s">
        <v>59</v>
      </c>
      <c r="M167" s="12" t="s">
        <v>60</v>
      </c>
      <c r="N167" s="12"/>
      <c r="O167" s="12"/>
      <c r="P167" s="12"/>
      <c r="Q167" s="12"/>
    </row>
    <row r="168" spans="1:17" ht="26.1" customHeight="1" x14ac:dyDescent="0.25">
      <c r="A168" s="12" t="s">
        <v>735</v>
      </c>
      <c r="B168" s="12" t="s">
        <v>132</v>
      </c>
      <c r="C168" s="12" t="s">
        <v>133</v>
      </c>
      <c r="D168" s="12" t="s">
        <v>220</v>
      </c>
      <c r="E168" s="12" t="s">
        <v>212</v>
      </c>
      <c r="F168" s="12" t="s">
        <v>736</v>
      </c>
      <c r="G168" s="12">
        <v>7</v>
      </c>
      <c r="H168" s="12" t="s">
        <v>214</v>
      </c>
      <c r="I168" s="45">
        <v>45292</v>
      </c>
      <c r="J168" s="45">
        <v>45223</v>
      </c>
      <c r="K168" s="45">
        <v>45223</v>
      </c>
      <c r="L168" s="12" t="s">
        <v>91</v>
      </c>
      <c r="M168" s="12" t="s">
        <v>60</v>
      </c>
      <c r="N168" s="12"/>
      <c r="O168" s="12"/>
      <c r="P168" s="12" t="s">
        <v>737</v>
      </c>
      <c r="Q168" s="12"/>
    </row>
    <row r="169" spans="1:17" ht="90.95" customHeight="1" x14ac:dyDescent="0.25">
      <c r="A169" s="12" t="s">
        <v>738</v>
      </c>
      <c r="B169" s="12" t="s">
        <v>132</v>
      </c>
      <c r="C169" s="12" t="s">
        <v>133</v>
      </c>
      <c r="D169" s="12" t="s">
        <v>224</v>
      </c>
      <c r="E169" s="12" t="s">
        <v>212</v>
      </c>
      <c r="F169" s="12" t="s">
        <v>739</v>
      </c>
      <c r="G169" s="12">
        <v>4</v>
      </c>
      <c r="H169" s="12" t="s">
        <v>214</v>
      </c>
      <c r="I169" s="45">
        <v>44927</v>
      </c>
      <c r="J169" s="45">
        <v>44852</v>
      </c>
      <c r="K169" s="45">
        <v>44853</v>
      </c>
      <c r="L169" s="12" t="s">
        <v>91</v>
      </c>
      <c r="M169" s="12" t="s">
        <v>60</v>
      </c>
      <c r="N169" s="12"/>
      <c r="O169" s="12"/>
      <c r="P169" s="12"/>
      <c r="Q169" s="12"/>
    </row>
    <row r="170" spans="1:17" ht="104.1" customHeight="1" x14ac:dyDescent="0.25">
      <c r="A170" s="12" t="s">
        <v>740</v>
      </c>
      <c r="B170" s="12" t="s">
        <v>132</v>
      </c>
      <c r="C170" s="12" t="s">
        <v>133</v>
      </c>
      <c r="D170" s="12" t="s">
        <v>126</v>
      </c>
      <c r="E170" s="12" t="s">
        <v>212</v>
      </c>
      <c r="F170" s="12" t="s">
        <v>694</v>
      </c>
      <c r="G170" s="12">
        <v>3</v>
      </c>
      <c r="H170" s="12" t="s">
        <v>214</v>
      </c>
      <c r="I170" s="45">
        <v>42736</v>
      </c>
      <c r="J170" s="45">
        <v>42668</v>
      </c>
      <c r="K170" s="45">
        <v>42670</v>
      </c>
      <c r="L170" s="12" t="s">
        <v>91</v>
      </c>
      <c r="M170" s="12" t="s">
        <v>60</v>
      </c>
      <c r="N170" s="12"/>
      <c r="O170" s="12"/>
      <c r="P170" s="12" t="s">
        <v>741</v>
      </c>
      <c r="Q170" s="12"/>
    </row>
    <row r="171" spans="1:17" ht="78" customHeight="1" x14ac:dyDescent="0.25">
      <c r="A171" s="12" t="s">
        <v>742</v>
      </c>
      <c r="B171" s="12" t="s">
        <v>132</v>
      </c>
      <c r="C171" s="12" t="s">
        <v>133</v>
      </c>
      <c r="D171" s="12" t="s">
        <v>83</v>
      </c>
      <c r="E171" s="12" t="s">
        <v>212</v>
      </c>
      <c r="F171" s="12" t="s">
        <v>743</v>
      </c>
      <c r="G171" s="12">
        <v>4</v>
      </c>
      <c r="H171" s="12" t="s">
        <v>214</v>
      </c>
      <c r="I171" s="45">
        <v>43101</v>
      </c>
      <c r="J171" s="45">
        <v>43032</v>
      </c>
      <c r="K171" s="45">
        <v>43033</v>
      </c>
      <c r="L171" s="12" t="s">
        <v>91</v>
      </c>
      <c r="M171" s="12" t="s">
        <v>60</v>
      </c>
      <c r="N171" s="12"/>
      <c r="O171" s="12"/>
      <c r="P171" s="12" t="s">
        <v>744</v>
      </c>
      <c r="Q171" s="12"/>
    </row>
    <row r="172" spans="1:17" ht="26.1" customHeight="1" x14ac:dyDescent="0.25">
      <c r="A172" s="12" t="s">
        <v>745</v>
      </c>
      <c r="B172" s="12" t="s">
        <v>132</v>
      </c>
      <c r="C172" s="12" t="s">
        <v>133</v>
      </c>
      <c r="D172" s="12" t="s">
        <v>55</v>
      </c>
      <c r="E172" s="12" t="s">
        <v>212</v>
      </c>
      <c r="F172" s="12" t="s">
        <v>746</v>
      </c>
      <c r="G172" s="12">
        <v>3</v>
      </c>
      <c r="H172" s="12" t="s">
        <v>214</v>
      </c>
      <c r="I172" s="45">
        <v>43466</v>
      </c>
      <c r="J172" s="45">
        <v>43396</v>
      </c>
      <c r="K172" s="45">
        <v>43397</v>
      </c>
      <c r="L172" s="12" t="s">
        <v>91</v>
      </c>
      <c r="M172" s="12" t="s">
        <v>60</v>
      </c>
      <c r="N172" s="12"/>
      <c r="O172" s="12"/>
      <c r="P172" s="12" t="s">
        <v>747</v>
      </c>
      <c r="Q172" s="12"/>
    </row>
    <row r="173" spans="1:17" ht="51.95" customHeight="1" x14ac:dyDescent="0.25">
      <c r="A173" s="12" t="s">
        <v>748</v>
      </c>
      <c r="B173" s="12" t="s">
        <v>132</v>
      </c>
      <c r="C173" s="12" t="s">
        <v>133</v>
      </c>
      <c r="D173" s="12" t="s">
        <v>228</v>
      </c>
      <c r="E173" s="12" t="s">
        <v>212</v>
      </c>
      <c r="F173" s="12" t="s">
        <v>749</v>
      </c>
      <c r="G173" s="12">
        <v>4</v>
      </c>
      <c r="H173" s="12" t="s">
        <v>214</v>
      </c>
      <c r="I173" s="45">
        <v>44481</v>
      </c>
      <c r="J173" s="45">
        <v>44481</v>
      </c>
      <c r="K173" s="45">
        <v>44483</v>
      </c>
      <c r="L173" s="12" t="s">
        <v>91</v>
      </c>
      <c r="M173" s="12" t="s">
        <v>60</v>
      </c>
      <c r="N173" s="12"/>
      <c r="O173" s="12"/>
      <c r="P173" s="12"/>
      <c r="Q173" s="12"/>
    </row>
    <row r="174" spans="1:17" ht="39" customHeight="1" x14ac:dyDescent="0.25">
      <c r="A174" s="12" t="s">
        <v>750</v>
      </c>
      <c r="B174" s="12" t="s">
        <v>132</v>
      </c>
      <c r="C174" s="12" t="s">
        <v>133</v>
      </c>
      <c r="D174" s="12" t="s">
        <v>232</v>
      </c>
      <c r="E174" s="12" t="s">
        <v>212</v>
      </c>
      <c r="F174" s="12" t="s">
        <v>751</v>
      </c>
      <c r="G174" s="12">
        <v>4</v>
      </c>
      <c r="H174" s="12" t="s">
        <v>214</v>
      </c>
      <c r="I174" s="45">
        <v>44197</v>
      </c>
      <c r="J174" s="45">
        <v>44131</v>
      </c>
      <c r="K174" s="45">
        <v>44133</v>
      </c>
      <c r="L174" s="12" t="s">
        <v>91</v>
      </c>
      <c r="M174" s="12" t="s">
        <v>60</v>
      </c>
      <c r="N174" s="12"/>
      <c r="O174" s="12"/>
      <c r="P174" s="12" t="s">
        <v>752</v>
      </c>
      <c r="Q174" s="12"/>
    </row>
    <row r="175" spans="1:17" ht="39" customHeight="1" x14ac:dyDescent="0.25">
      <c r="A175" s="12" t="s">
        <v>753</v>
      </c>
      <c r="B175" s="12" t="s">
        <v>132</v>
      </c>
      <c r="C175" s="12" t="s">
        <v>133</v>
      </c>
      <c r="D175" s="12" t="s">
        <v>236</v>
      </c>
      <c r="E175" s="12" t="s">
        <v>212</v>
      </c>
      <c r="F175" s="12" t="s">
        <v>754</v>
      </c>
      <c r="G175" s="12">
        <v>4</v>
      </c>
      <c r="H175" s="12" t="s">
        <v>214</v>
      </c>
      <c r="I175" s="45">
        <v>43831</v>
      </c>
      <c r="J175" s="45">
        <v>43767</v>
      </c>
      <c r="K175" s="45">
        <v>43767</v>
      </c>
      <c r="L175" s="12" t="s">
        <v>91</v>
      </c>
      <c r="M175" s="12" t="s">
        <v>60</v>
      </c>
      <c r="N175" s="12"/>
      <c r="O175" s="12"/>
      <c r="P175" s="12" t="s">
        <v>755</v>
      </c>
      <c r="Q175" s="12"/>
    </row>
    <row r="176" spans="1:17" ht="39" customHeight="1" x14ac:dyDescent="0.25">
      <c r="A176" s="12" t="s">
        <v>756</v>
      </c>
      <c r="B176" s="12" t="s">
        <v>140</v>
      </c>
      <c r="C176" s="12" t="s">
        <v>141</v>
      </c>
      <c r="D176" s="12" t="s">
        <v>232</v>
      </c>
      <c r="E176" s="12" t="s">
        <v>212</v>
      </c>
      <c r="F176" s="12" t="s">
        <v>568</v>
      </c>
      <c r="G176" s="12">
        <v>4</v>
      </c>
      <c r="H176" s="12" t="s">
        <v>214</v>
      </c>
      <c r="I176" s="45">
        <v>44173</v>
      </c>
      <c r="J176" s="45">
        <v>44173</v>
      </c>
      <c r="K176" s="45">
        <v>44146</v>
      </c>
      <c r="L176" s="12" t="s">
        <v>91</v>
      </c>
      <c r="M176" s="12" t="s">
        <v>60</v>
      </c>
      <c r="N176" s="12"/>
      <c r="O176" s="12"/>
      <c r="P176" s="12"/>
      <c r="Q176" s="12"/>
    </row>
    <row r="177" spans="1:17" ht="39" customHeight="1" x14ac:dyDescent="0.25">
      <c r="A177" s="12" t="s">
        <v>757</v>
      </c>
      <c r="B177" s="12" t="s">
        <v>140</v>
      </c>
      <c r="C177" s="12" t="s">
        <v>141</v>
      </c>
      <c r="D177" s="12" t="s">
        <v>228</v>
      </c>
      <c r="E177" s="12" t="s">
        <v>212</v>
      </c>
      <c r="F177" s="12" t="s">
        <v>758</v>
      </c>
      <c r="G177" s="12">
        <v>5</v>
      </c>
      <c r="H177" s="12" t="s">
        <v>214</v>
      </c>
      <c r="I177" s="45">
        <v>44551</v>
      </c>
      <c r="J177" s="45">
        <v>44551</v>
      </c>
      <c r="K177" s="45">
        <v>44517</v>
      </c>
      <c r="L177" s="12" t="s">
        <v>91</v>
      </c>
      <c r="M177" s="12" t="s">
        <v>60</v>
      </c>
      <c r="N177" s="12"/>
      <c r="O177" s="12"/>
      <c r="P177" s="12"/>
      <c r="Q177" s="12"/>
    </row>
    <row r="178" spans="1:17" ht="51.95" customHeight="1" x14ac:dyDescent="0.25">
      <c r="A178" s="12" t="s">
        <v>759</v>
      </c>
      <c r="B178" s="12" t="s">
        <v>140</v>
      </c>
      <c r="C178" s="12" t="s">
        <v>141</v>
      </c>
      <c r="D178" s="12" t="s">
        <v>83</v>
      </c>
      <c r="E178" s="12" t="s">
        <v>212</v>
      </c>
      <c r="F178" s="12" t="s">
        <v>760</v>
      </c>
      <c r="G178" s="12">
        <v>6</v>
      </c>
      <c r="H178" s="12" t="s">
        <v>214</v>
      </c>
      <c r="I178" s="45">
        <v>43281</v>
      </c>
      <c r="J178" s="45">
        <v>43032</v>
      </c>
      <c r="K178" s="45">
        <v>43018</v>
      </c>
      <c r="L178" s="12" t="s">
        <v>91</v>
      </c>
      <c r="M178" s="12" t="s">
        <v>60</v>
      </c>
      <c r="N178" s="12"/>
      <c r="O178" s="12"/>
      <c r="P178" s="12"/>
      <c r="Q178" s="12"/>
    </row>
    <row r="179" spans="1:17" ht="51.95" customHeight="1" x14ac:dyDescent="0.25">
      <c r="A179" s="12" t="s">
        <v>761</v>
      </c>
      <c r="B179" s="12" t="s">
        <v>140</v>
      </c>
      <c r="C179" s="12" t="s">
        <v>141</v>
      </c>
      <c r="D179" s="12" t="s">
        <v>55</v>
      </c>
      <c r="E179" s="12" t="s">
        <v>212</v>
      </c>
      <c r="F179" s="12" t="s">
        <v>762</v>
      </c>
      <c r="G179" s="12">
        <v>5</v>
      </c>
      <c r="H179" s="12" t="s">
        <v>214</v>
      </c>
      <c r="I179" s="45">
        <v>43646</v>
      </c>
      <c r="J179" s="45">
        <v>43431</v>
      </c>
      <c r="K179" s="45">
        <v>43403</v>
      </c>
      <c r="L179" s="12" t="s">
        <v>91</v>
      </c>
      <c r="M179" s="12" t="s">
        <v>60</v>
      </c>
      <c r="N179" s="12"/>
      <c r="O179" s="12"/>
      <c r="P179" s="12"/>
      <c r="Q179" s="12"/>
    </row>
    <row r="180" spans="1:17" ht="51.95" customHeight="1" x14ac:dyDescent="0.25">
      <c r="A180" s="12" t="s">
        <v>763</v>
      </c>
      <c r="B180" s="12" t="s">
        <v>140</v>
      </c>
      <c r="C180" s="12" t="s">
        <v>141</v>
      </c>
      <c r="D180" s="12" t="s">
        <v>224</v>
      </c>
      <c r="E180" s="12" t="s">
        <v>212</v>
      </c>
      <c r="F180" s="12" t="s">
        <v>764</v>
      </c>
      <c r="G180" s="12">
        <v>5</v>
      </c>
      <c r="H180" s="12" t="s">
        <v>214</v>
      </c>
      <c r="I180" s="45">
        <v>44927</v>
      </c>
      <c r="J180" s="45">
        <v>44915</v>
      </c>
      <c r="K180" s="45">
        <v>44888</v>
      </c>
      <c r="L180" s="12" t="s">
        <v>91</v>
      </c>
      <c r="M180" s="12" t="s">
        <v>60</v>
      </c>
      <c r="N180" s="12"/>
      <c r="O180" s="12"/>
      <c r="P180" s="12"/>
      <c r="Q180" s="12"/>
    </row>
    <row r="181" spans="1:17" ht="26.1" customHeight="1" x14ac:dyDescent="0.25">
      <c r="A181" s="12" t="s">
        <v>765</v>
      </c>
      <c r="B181" s="12" t="s">
        <v>140</v>
      </c>
      <c r="C181" s="12" t="s">
        <v>141</v>
      </c>
      <c r="D181" s="12" t="s">
        <v>126</v>
      </c>
      <c r="E181" s="12" t="s">
        <v>212</v>
      </c>
      <c r="F181" s="12" t="s">
        <v>766</v>
      </c>
      <c r="G181" s="12">
        <v>6</v>
      </c>
      <c r="H181" s="12" t="s">
        <v>214</v>
      </c>
      <c r="I181" s="45">
        <v>42916</v>
      </c>
      <c r="J181" s="45">
        <v>42668</v>
      </c>
      <c r="K181" s="45">
        <v>42646</v>
      </c>
      <c r="L181" s="12" t="s">
        <v>91</v>
      </c>
      <c r="M181" s="12" t="s">
        <v>60</v>
      </c>
      <c r="N181" s="12"/>
      <c r="O181" s="12"/>
      <c r="P181" s="12"/>
      <c r="Q181" s="12"/>
    </row>
    <row r="182" spans="1:17" ht="39" customHeight="1" x14ac:dyDescent="0.25">
      <c r="A182" s="12" t="s">
        <v>767</v>
      </c>
      <c r="B182" s="12" t="s">
        <v>140</v>
      </c>
      <c r="C182" s="12" t="s">
        <v>768</v>
      </c>
      <c r="D182" s="12" t="s">
        <v>220</v>
      </c>
      <c r="E182" s="12" t="s">
        <v>212</v>
      </c>
      <c r="F182" s="12" t="s">
        <v>769</v>
      </c>
      <c r="G182" s="12">
        <v>5</v>
      </c>
      <c r="H182" s="12" t="s">
        <v>214</v>
      </c>
      <c r="I182" s="45">
        <v>45280</v>
      </c>
      <c r="J182" s="45">
        <v>45278</v>
      </c>
      <c r="K182" s="45">
        <v>45247</v>
      </c>
      <c r="L182" s="12" t="s">
        <v>91</v>
      </c>
      <c r="M182" s="12" t="s">
        <v>60</v>
      </c>
      <c r="N182" s="12"/>
      <c r="O182" s="12"/>
      <c r="P182" s="12" t="s">
        <v>770</v>
      </c>
      <c r="Q182" s="12"/>
    </row>
    <row r="183" spans="1:17" ht="26.1" customHeight="1" x14ac:dyDescent="0.25">
      <c r="A183" s="12" t="s">
        <v>771</v>
      </c>
      <c r="B183" s="12" t="s">
        <v>140</v>
      </c>
      <c r="C183" s="12" t="s">
        <v>141</v>
      </c>
      <c r="D183" s="12" t="s">
        <v>236</v>
      </c>
      <c r="E183" s="12" t="s">
        <v>212</v>
      </c>
      <c r="F183" s="12" t="s">
        <v>754</v>
      </c>
      <c r="G183" s="12">
        <v>4</v>
      </c>
      <c r="H183" s="12" t="s">
        <v>214</v>
      </c>
      <c r="I183" s="45">
        <v>43796</v>
      </c>
      <c r="J183" s="45">
        <v>43796</v>
      </c>
      <c r="K183" s="45">
        <v>43768</v>
      </c>
      <c r="L183" s="12" t="s">
        <v>91</v>
      </c>
      <c r="M183" s="12" t="s">
        <v>60</v>
      </c>
      <c r="N183" s="12"/>
      <c r="O183" s="12"/>
      <c r="P183" s="12"/>
      <c r="Q183" s="12"/>
    </row>
    <row r="184" spans="1:17" ht="26.1" customHeight="1" x14ac:dyDescent="0.25">
      <c r="A184" s="12" t="s">
        <v>772</v>
      </c>
      <c r="B184" s="12" t="s">
        <v>140</v>
      </c>
      <c r="C184" s="12" t="s">
        <v>768</v>
      </c>
      <c r="D184" s="12" t="s">
        <v>252</v>
      </c>
      <c r="E184" s="12" t="s">
        <v>212</v>
      </c>
      <c r="F184" s="12" t="s">
        <v>773</v>
      </c>
      <c r="G184" s="12">
        <v>5</v>
      </c>
      <c r="H184" s="12" t="s">
        <v>214</v>
      </c>
      <c r="I184" s="45">
        <v>45642</v>
      </c>
      <c r="J184" s="45">
        <v>45635</v>
      </c>
      <c r="K184" s="45">
        <v>45604</v>
      </c>
      <c r="L184" s="12" t="s">
        <v>59</v>
      </c>
      <c r="M184" s="12" t="s">
        <v>60</v>
      </c>
      <c r="N184" s="12"/>
      <c r="O184" s="12"/>
      <c r="P184" s="12" t="s">
        <v>770</v>
      </c>
      <c r="Q184" s="12"/>
    </row>
    <row r="185" spans="1:17" ht="26.1" customHeight="1" x14ac:dyDescent="0.25">
      <c r="A185" s="12" t="s">
        <v>774</v>
      </c>
      <c r="B185" s="12" t="s">
        <v>140</v>
      </c>
      <c r="C185" s="12" t="s">
        <v>141</v>
      </c>
      <c r="D185" s="12" t="s">
        <v>77</v>
      </c>
      <c r="E185" s="12" t="s">
        <v>212</v>
      </c>
      <c r="F185" s="12" t="s">
        <v>390</v>
      </c>
      <c r="G185" s="12">
        <v>6</v>
      </c>
      <c r="H185" s="12" t="s">
        <v>550</v>
      </c>
      <c r="I185" s="45">
        <v>42370</v>
      </c>
      <c r="J185" s="45">
        <v>42354</v>
      </c>
      <c r="K185" s="45">
        <v>42367</v>
      </c>
      <c r="L185" s="12" t="s">
        <v>91</v>
      </c>
      <c r="M185" s="12" t="s">
        <v>60</v>
      </c>
      <c r="N185" s="12"/>
      <c r="O185" s="12"/>
      <c r="P185" s="12"/>
      <c r="Q185" s="12"/>
    </row>
    <row r="186" spans="1:17" ht="26.1" customHeight="1" x14ac:dyDescent="0.25">
      <c r="A186" s="12" t="s">
        <v>775</v>
      </c>
      <c r="B186" s="12" t="s">
        <v>143</v>
      </c>
      <c r="C186" s="12" t="s">
        <v>144</v>
      </c>
      <c r="D186" s="12" t="s">
        <v>220</v>
      </c>
      <c r="E186" s="12" t="s">
        <v>212</v>
      </c>
      <c r="F186" s="12" t="s">
        <v>776</v>
      </c>
      <c r="G186" s="12">
        <v>3</v>
      </c>
      <c r="H186" s="12" t="s">
        <v>214</v>
      </c>
      <c r="I186" s="45">
        <v>45112</v>
      </c>
      <c r="J186" s="45">
        <v>45103</v>
      </c>
      <c r="K186" s="45">
        <v>45104</v>
      </c>
      <c r="L186" s="12" t="s">
        <v>91</v>
      </c>
      <c r="M186" s="12" t="s">
        <v>60</v>
      </c>
      <c r="N186" s="12"/>
      <c r="O186" s="12"/>
      <c r="P186" s="12" t="s">
        <v>777</v>
      </c>
      <c r="Q186" s="12"/>
    </row>
    <row r="187" spans="1:17" ht="26.1" customHeight="1" x14ac:dyDescent="0.25">
      <c r="A187" s="12" t="s">
        <v>778</v>
      </c>
      <c r="B187" s="12" t="s">
        <v>143</v>
      </c>
      <c r="C187" s="12" t="s">
        <v>144</v>
      </c>
      <c r="D187" s="12" t="s">
        <v>224</v>
      </c>
      <c r="E187" s="12" t="s">
        <v>212</v>
      </c>
      <c r="F187" s="12" t="s">
        <v>779</v>
      </c>
      <c r="G187" s="12">
        <v>3</v>
      </c>
      <c r="H187" s="12" t="s">
        <v>214</v>
      </c>
      <c r="I187" s="45">
        <v>44708</v>
      </c>
      <c r="J187" s="45">
        <v>44691</v>
      </c>
      <c r="K187" s="45">
        <v>44711</v>
      </c>
      <c r="L187" s="12" t="s">
        <v>91</v>
      </c>
      <c r="M187" s="12" t="s">
        <v>60</v>
      </c>
      <c r="N187" s="12"/>
      <c r="O187" s="12"/>
      <c r="P187" s="12" t="s">
        <v>780</v>
      </c>
      <c r="Q187" s="12"/>
    </row>
    <row r="188" spans="1:17" ht="26.1" customHeight="1" x14ac:dyDescent="0.25">
      <c r="A188" s="12" t="s">
        <v>781</v>
      </c>
      <c r="B188" s="12" t="s">
        <v>143</v>
      </c>
      <c r="C188" s="12" t="s">
        <v>144</v>
      </c>
      <c r="D188" s="12" t="s">
        <v>228</v>
      </c>
      <c r="E188" s="12" t="s">
        <v>212</v>
      </c>
      <c r="F188" s="12" t="s">
        <v>782</v>
      </c>
      <c r="G188" s="12">
        <v>3</v>
      </c>
      <c r="H188" s="12" t="s">
        <v>214</v>
      </c>
      <c r="I188" s="45">
        <v>44562</v>
      </c>
      <c r="J188" s="45">
        <v>44473</v>
      </c>
      <c r="K188" s="45">
        <v>44496</v>
      </c>
      <c r="L188" s="12" t="s">
        <v>91</v>
      </c>
      <c r="M188" s="12" t="s">
        <v>60</v>
      </c>
      <c r="N188" s="12"/>
      <c r="O188" s="12"/>
      <c r="P188" s="12" t="s">
        <v>783</v>
      </c>
      <c r="Q188" s="12"/>
    </row>
    <row r="189" spans="1:17" ht="26.1" customHeight="1" x14ac:dyDescent="0.25">
      <c r="A189" s="12" t="s">
        <v>784</v>
      </c>
      <c r="B189" s="12" t="s">
        <v>143</v>
      </c>
      <c r="C189" s="12" t="s">
        <v>144</v>
      </c>
      <c r="D189" s="12" t="s">
        <v>232</v>
      </c>
      <c r="E189" s="12" t="s">
        <v>212</v>
      </c>
      <c r="F189" s="12" t="s">
        <v>785</v>
      </c>
      <c r="G189" s="12">
        <v>3</v>
      </c>
      <c r="H189" s="12" t="s">
        <v>214</v>
      </c>
      <c r="I189" s="45">
        <v>44197</v>
      </c>
      <c r="J189" s="45">
        <v>44011</v>
      </c>
      <c r="K189" s="45">
        <v>44019</v>
      </c>
      <c r="L189" s="12" t="s">
        <v>91</v>
      </c>
      <c r="M189" s="12" t="s">
        <v>60</v>
      </c>
      <c r="N189" s="12"/>
      <c r="O189" s="12"/>
      <c r="P189" s="12" t="s">
        <v>777</v>
      </c>
      <c r="Q189" s="12"/>
    </row>
    <row r="190" spans="1:17" ht="26.1" customHeight="1" x14ac:dyDescent="0.25">
      <c r="A190" s="12" t="s">
        <v>786</v>
      </c>
      <c r="B190" s="12" t="s">
        <v>143</v>
      </c>
      <c r="C190" s="12" t="s">
        <v>144</v>
      </c>
      <c r="D190" s="12" t="s">
        <v>236</v>
      </c>
      <c r="E190" s="12" t="s">
        <v>212</v>
      </c>
      <c r="F190" s="12" t="s">
        <v>785</v>
      </c>
      <c r="G190" s="12">
        <v>3</v>
      </c>
      <c r="H190" s="12" t="s">
        <v>214</v>
      </c>
      <c r="I190" s="45">
        <v>43831</v>
      </c>
      <c r="J190" s="45">
        <v>43789</v>
      </c>
      <c r="K190" s="45">
        <v>43790</v>
      </c>
      <c r="L190" s="12" t="s">
        <v>91</v>
      </c>
      <c r="M190" s="12" t="s">
        <v>60</v>
      </c>
      <c r="N190" s="12"/>
      <c r="O190" s="12"/>
      <c r="P190" s="12" t="s">
        <v>777</v>
      </c>
      <c r="Q190" s="12"/>
    </row>
    <row r="191" spans="1:17" ht="26.1" customHeight="1" x14ac:dyDescent="0.25">
      <c r="A191" s="12" t="s">
        <v>787</v>
      </c>
      <c r="B191" s="12" t="s">
        <v>143</v>
      </c>
      <c r="C191" s="12" t="s">
        <v>144</v>
      </c>
      <c r="D191" s="12" t="s">
        <v>55</v>
      </c>
      <c r="E191" s="12" t="s">
        <v>212</v>
      </c>
      <c r="F191" s="12" t="s">
        <v>788</v>
      </c>
      <c r="G191" s="12">
        <v>3</v>
      </c>
      <c r="H191" s="12" t="s">
        <v>214</v>
      </c>
      <c r="I191" s="45">
        <v>43466</v>
      </c>
      <c r="J191" s="45">
        <v>43433</v>
      </c>
      <c r="K191" s="45">
        <v>43434</v>
      </c>
      <c r="L191" s="12" t="s">
        <v>91</v>
      </c>
      <c r="M191" s="12" t="s">
        <v>60</v>
      </c>
      <c r="N191" s="12"/>
      <c r="O191" s="12"/>
      <c r="P191" s="12" t="s">
        <v>789</v>
      </c>
      <c r="Q191" s="12"/>
    </row>
    <row r="192" spans="1:17" ht="78" customHeight="1" x14ac:dyDescent="0.25">
      <c r="A192" s="12" t="s">
        <v>790</v>
      </c>
      <c r="B192" s="12" t="s">
        <v>143</v>
      </c>
      <c r="C192" s="12" t="s">
        <v>144</v>
      </c>
      <c r="D192" s="12" t="s">
        <v>252</v>
      </c>
      <c r="E192" s="12" t="s">
        <v>212</v>
      </c>
      <c r="F192" s="12" t="s">
        <v>791</v>
      </c>
      <c r="G192" s="12">
        <v>3</v>
      </c>
      <c r="H192" s="12" t="s">
        <v>214</v>
      </c>
      <c r="I192" s="45">
        <v>45467</v>
      </c>
      <c r="J192" s="45">
        <v>45467</v>
      </c>
      <c r="K192" s="45">
        <v>45467</v>
      </c>
      <c r="L192" s="12" t="s">
        <v>59</v>
      </c>
      <c r="M192" s="12" t="s">
        <v>60</v>
      </c>
      <c r="N192" s="12"/>
      <c r="O192" s="12"/>
      <c r="P192" s="12" t="s">
        <v>777</v>
      </c>
      <c r="Q192" s="12"/>
    </row>
    <row r="193" spans="1:17" ht="26.1" customHeight="1" x14ac:dyDescent="0.25">
      <c r="A193" s="12" t="s">
        <v>792</v>
      </c>
      <c r="B193" s="12" t="s">
        <v>143</v>
      </c>
      <c r="C193" s="12" t="s">
        <v>144</v>
      </c>
      <c r="D193" s="12" t="s">
        <v>83</v>
      </c>
      <c r="E193" s="12" t="s">
        <v>212</v>
      </c>
      <c r="F193" s="12" t="s">
        <v>788</v>
      </c>
      <c r="G193" s="12">
        <v>3</v>
      </c>
      <c r="H193" s="12" t="s">
        <v>214</v>
      </c>
      <c r="I193" s="45">
        <v>43084</v>
      </c>
      <c r="J193" s="45">
        <v>43084</v>
      </c>
      <c r="K193" s="45">
        <v>43096</v>
      </c>
      <c r="L193" s="12" t="s">
        <v>91</v>
      </c>
      <c r="M193" s="12" t="s">
        <v>60</v>
      </c>
      <c r="N193" s="12"/>
      <c r="O193" s="12"/>
      <c r="P193" s="12"/>
      <c r="Q193" s="12"/>
    </row>
    <row r="194" spans="1:17" ht="26.1" customHeight="1" x14ac:dyDescent="0.25">
      <c r="A194" s="12" t="s">
        <v>793</v>
      </c>
      <c r="B194" s="12" t="s">
        <v>147</v>
      </c>
      <c r="C194" s="12" t="s">
        <v>148</v>
      </c>
      <c r="D194" s="12" t="s">
        <v>77</v>
      </c>
      <c r="E194" s="12" t="s">
        <v>212</v>
      </c>
      <c r="F194" s="12" t="s">
        <v>794</v>
      </c>
      <c r="G194" s="12">
        <v>4</v>
      </c>
      <c r="H194" s="12" t="s">
        <v>550</v>
      </c>
      <c r="I194" s="45">
        <v>42735</v>
      </c>
      <c r="J194" s="45">
        <v>42353</v>
      </c>
      <c r="K194" s="45">
        <v>42333</v>
      </c>
      <c r="L194" s="12" t="s">
        <v>91</v>
      </c>
      <c r="M194" s="12" t="s">
        <v>60</v>
      </c>
      <c r="N194" s="12"/>
      <c r="O194" s="12"/>
      <c r="P194" s="12" t="s">
        <v>795</v>
      </c>
      <c r="Q194" s="12"/>
    </row>
    <row r="195" spans="1:17" ht="78" customHeight="1" x14ac:dyDescent="0.25">
      <c r="A195" s="12" t="s">
        <v>796</v>
      </c>
      <c r="B195" s="12" t="s">
        <v>147</v>
      </c>
      <c r="C195" s="12" t="s">
        <v>148</v>
      </c>
      <c r="D195" s="12" t="s">
        <v>252</v>
      </c>
      <c r="E195" s="12" t="s">
        <v>212</v>
      </c>
      <c r="F195" s="12" t="s">
        <v>794</v>
      </c>
      <c r="G195" s="12">
        <v>4</v>
      </c>
      <c r="H195" s="12" t="s">
        <v>214</v>
      </c>
      <c r="I195" s="45">
        <v>45666</v>
      </c>
      <c r="J195" s="45">
        <v>45635</v>
      </c>
      <c r="K195" s="45">
        <v>45621</v>
      </c>
      <c r="L195" s="12" t="s">
        <v>59</v>
      </c>
      <c r="M195" s="12" t="s">
        <v>60</v>
      </c>
      <c r="N195" s="12"/>
      <c r="O195" s="12"/>
      <c r="P195" s="12" t="s">
        <v>795</v>
      </c>
      <c r="Q195" s="12"/>
    </row>
    <row r="196" spans="1:17" ht="26.1" customHeight="1" x14ac:dyDescent="0.25">
      <c r="A196" s="12" t="s">
        <v>797</v>
      </c>
      <c r="B196" s="12" t="s">
        <v>147</v>
      </c>
      <c r="C196" s="12" t="s">
        <v>148</v>
      </c>
      <c r="D196" s="12" t="s">
        <v>252</v>
      </c>
      <c r="E196" s="12" t="s">
        <v>212</v>
      </c>
      <c r="F196" s="12" t="s">
        <v>794</v>
      </c>
      <c r="G196" s="12">
        <v>4</v>
      </c>
      <c r="H196" s="12" t="s">
        <v>214</v>
      </c>
      <c r="I196" s="45">
        <v>45839</v>
      </c>
      <c r="J196" s="45">
        <v>45635</v>
      </c>
      <c r="K196" s="45">
        <v>45698</v>
      </c>
      <c r="L196" s="12" t="s">
        <v>91</v>
      </c>
      <c r="M196" s="12" t="s">
        <v>60</v>
      </c>
      <c r="N196" s="12"/>
      <c r="O196" s="12"/>
      <c r="P196" s="12"/>
      <c r="Q196" s="12"/>
    </row>
    <row r="197" spans="1:17" ht="26.1" customHeight="1" x14ac:dyDescent="0.25">
      <c r="A197" s="12" t="s">
        <v>798</v>
      </c>
      <c r="B197" s="12" t="s">
        <v>147</v>
      </c>
      <c r="C197" s="12" t="s">
        <v>148</v>
      </c>
      <c r="D197" s="12" t="s">
        <v>220</v>
      </c>
      <c r="E197" s="12" t="s">
        <v>212</v>
      </c>
      <c r="F197" s="12" t="s">
        <v>799</v>
      </c>
      <c r="G197" s="12">
        <v>4</v>
      </c>
      <c r="H197" s="12" t="s">
        <v>214</v>
      </c>
      <c r="I197" s="45">
        <v>45474</v>
      </c>
      <c r="J197" s="45">
        <v>45280</v>
      </c>
      <c r="K197" s="45">
        <v>45259</v>
      </c>
      <c r="L197" s="12" t="s">
        <v>59</v>
      </c>
      <c r="M197" s="12" t="s">
        <v>60</v>
      </c>
      <c r="N197" s="12"/>
      <c r="O197" s="12"/>
      <c r="P197" s="12"/>
      <c r="Q197" s="12"/>
    </row>
    <row r="198" spans="1:17" ht="51.95" customHeight="1" x14ac:dyDescent="0.25">
      <c r="A198" s="12" t="s">
        <v>800</v>
      </c>
      <c r="B198" s="12" t="s">
        <v>147</v>
      </c>
      <c r="C198" s="12" t="s">
        <v>148</v>
      </c>
      <c r="D198" s="12" t="s">
        <v>224</v>
      </c>
      <c r="E198" s="12" t="s">
        <v>212</v>
      </c>
      <c r="F198" s="12" t="s">
        <v>801</v>
      </c>
      <c r="G198" s="12">
        <v>4</v>
      </c>
      <c r="H198" s="12" t="s">
        <v>214</v>
      </c>
      <c r="I198" s="45">
        <v>45108</v>
      </c>
      <c r="J198" s="45">
        <v>44915</v>
      </c>
      <c r="K198" s="45">
        <v>44886</v>
      </c>
      <c r="L198" s="12" t="s">
        <v>91</v>
      </c>
      <c r="M198" s="12" t="s">
        <v>60</v>
      </c>
      <c r="N198" s="12"/>
      <c r="O198" s="12"/>
      <c r="P198" s="12" t="s">
        <v>795</v>
      </c>
      <c r="Q198" s="12"/>
    </row>
    <row r="199" spans="1:17" ht="51.95" customHeight="1" x14ac:dyDescent="0.25">
      <c r="A199" s="12" t="s">
        <v>802</v>
      </c>
      <c r="B199" s="12" t="s">
        <v>147</v>
      </c>
      <c r="C199" s="12" t="s">
        <v>148</v>
      </c>
      <c r="D199" s="12" t="s">
        <v>228</v>
      </c>
      <c r="E199" s="12" t="s">
        <v>212</v>
      </c>
      <c r="F199" s="12" t="s">
        <v>803</v>
      </c>
      <c r="G199" s="12">
        <v>3</v>
      </c>
      <c r="H199" s="12" t="s">
        <v>214</v>
      </c>
      <c r="I199" s="45">
        <v>44526</v>
      </c>
      <c r="J199" s="45">
        <v>44525</v>
      </c>
      <c r="K199" s="45">
        <v>44495</v>
      </c>
      <c r="L199" s="12" t="s">
        <v>91</v>
      </c>
      <c r="M199" s="12" t="s">
        <v>60</v>
      </c>
      <c r="N199" s="12"/>
      <c r="O199" s="12"/>
      <c r="P199" s="12" t="s">
        <v>795</v>
      </c>
      <c r="Q199" s="12"/>
    </row>
    <row r="200" spans="1:17" ht="39" customHeight="1" x14ac:dyDescent="0.25">
      <c r="A200" s="12" t="s">
        <v>804</v>
      </c>
      <c r="B200" s="12" t="s">
        <v>147</v>
      </c>
      <c r="C200" s="12" t="s">
        <v>148</v>
      </c>
      <c r="D200" s="12" t="s">
        <v>232</v>
      </c>
      <c r="E200" s="12" t="s">
        <v>212</v>
      </c>
      <c r="F200" s="12" t="s">
        <v>805</v>
      </c>
      <c r="G200" s="12">
        <v>3</v>
      </c>
      <c r="H200" s="12" t="s">
        <v>214</v>
      </c>
      <c r="I200" s="45">
        <v>44197</v>
      </c>
      <c r="J200" s="45">
        <v>44182</v>
      </c>
      <c r="K200" s="45">
        <v>44182</v>
      </c>
      <c r="L200" s="12" t="s">
        <v>91</v>
      </c>
      <c r="M200" s="12" t="s">
        <v>60</v>
      </c>
      <c r="N200" s="12"/>
      <c r="O200" s="12"/>
      <c r="P200" s="12" t="s">
        <v>806</v>
      </c>
      <c r="Q200" s="12"/>
    </row>
    <row r="201" spans="1:17" ht="39" customHeight="1" x14ac:dyDescent="0.25">
      <c r="A201" s="12" t="s">
        <v>807</v>
      </c>
      <c r="B201" s="12" t="s">
        <v>147</v>
      </c>
      <c r="C201" s="12" t="s">
        <v>148</v>
      </c>
      <c r="D201" s="12" t="s">
        <v>232</v>
      </c>
      <c r="E201" s="12" t="s">
        <v>212</v>
      </c>
      <c r="F201" s="12" t="s">
        <v>808</v>
      </c>
      <c r="G201" s="12">
        <v>3</v>
      </c>
      <c r="H201" s="12" t="s">
        <v>214</v>
      </c>
      <c r="I201" s="45">
        <v>44196</v>
      </c>
      <c r="J201" s="45">
        <v>43951</v>
      </c>
      <c r="K201" s="45">
        <v>43927</v>
      </c>
      <c r="L201" s="12" t="s">
        <v>91</v>
      </c>
      <c r="M201" s="12" t="s">
        <v>60</v>
      </c>
      <c r="N201" s="12"/>
      <c r="O201" s="12"/>
      <c r="P201" s="12"/>
      <c r="Q201" s="12"/>
    </row>
    <row r="202" spans="1:17" ht="39" customHeight="1" x14ac:dyDescent="0.25">
      <c r="A202" s="12" t="s">
        <v>809</v>
      </c>
      <c r="B202" s="12" t="s">
        <v>147</v>
      </c>
      <c r="C202" s="12" t="s">
        <v>148</v>
      </c>
      <c r="D202" s="12" t="s">
        <v>236</v>
      </c>
      <c r="E202" s="12" t="s">
        <v>212</v>
      </c>
      <c r="F202" s="12" t="s">
        <v>810</v>
      </c>
      <c r="G202" s="12">
        <v>3</v>
      </c>
      <c r="H202" s="12" t="s">
        <v>214</v>
      </c>
      <c r="I202" s="45">
        <v>43831</v>
      </c>
      <c r="J202" s="45">
        <v>43795</v>
      </c>
      <c r="K202" s="45">
        <v>43766</v>
      </c>
      <c r="L202" s="12" t="s">
        <v>91</v>
      </c>
      <c r="M202" s="12" t="s">
        <v>60</v>
      </c>
      <c r="N202" s="12"/>
      <c r="O202" s="12"/>
      <c r="P202" s="12" t="s">
        <v>795</v>
      </c>
      <c r="Q202" s="12"/>
    </row>
    <row r="203" spans="1:17" ht="39" customHeight="1" x14ac:dyDescent="0.25">
      <c r="A203" s="12" t="s">
        <v>811</v>
      </c>
      <c r="B203" s="12" t="s">
        <v>147</v>
      </c>
      <c r="C203" s="12" t="s">
        <v>148</v>
      </c>
      <c r="D203" s="12" t="s">
        <v>55</v>
      </c>
      <c r="E203" s="12" t="s">
        <v>212</v>
      </c>
      <c r="F203" s="12" t="s">
        <v>812</v>
      </c>
      <c r="G203" s="12">
        <v>4</v>
      </c>
      <c r="H203" s="12" t="s">
        <v>214</v>
      </c>
      <c r="I203" s="45">
        <v>43465</v>
      </c>
      <c r="J203" s="45">
        <v>43431</v>
      </c>
      <c r="K203" s="45">
        <v>43399</v>
      </c>
      <c r="L203" s="12" t="s">
        <v>91</v>
      </c>
      <c r="M203" s="12" t="s">
        <v>60</v>
      </c>
      <c r="N203" s="12"/>
      <c r="O203" s="12"/>
      <c r="P203" s="12" t="s">
        <v>795</v>
      </c>
      <c r="Q203" s="12"/>
    </row>
    <row r="204" spans="1:17" ht="39" customHeight="1" x14ac:dyDescent="0.25">
      <c r="A204" s="12" t="s">
        <v>813</v>
      </c>
      <c r="B204" s="12" t="s">
        <v>147</v>
      </c>
      <c r="C204" s="12" t="s">
        <v>148</v>
      </c>
      <c r="D204" s="12" t="s">
        <v>83</v>
      </c>
      <c r="E204" s="12" t="s">
        <v>212</v>
      </c>
      <c r="F204" s="12" t="s">
        <v>794</v>
      </c>
      <c r="G204" s="12">
        <v>4</v>
      </c>
      <c r="H204" s="12" t="s">
        <v>214</v>
      </c>
      <c r="I204" s="45">
        <v>43069</v>
      </c>
      <c r="J204" s="45">
        <v>43060</v>
      </c>
      <c r="K204" s="45">
        <v>43032</v>
      </c>
      <c r="L204" s="12" t="s">
        <v>91</v>
      </c>
      <c r="M204" s="12" t="s">
        <v>60</v>
      </c>
      <c r="N204" s="12"/>
      <c r="O204" s="12"/>
      <c r="P204" s="12" t="s">
        <v>795</v>
      </c>
      <c r="Q204" s="12"/>
    </row>
    <row r="205" spans="1:17" ht="39" customHeight="1" x14ac:dyDescent="0.25">
      <c r="A205" s="12" t="s">
        <v>814</v>
      </c>
      <c r="B205" s="12" t="s">
        <v>147</v>
      </c>
      <c r="C205" s="12" t="s">
        <v>148</v>
      </c>
      <c r="D205" s="12" t="s">
        <v>126</v>
      </c>
      <c r="E205" s="12" t="s">
        <v>212</v>
      </c>
      <c r="F205" s="12" t="s">
        <v>794</v>
      </c>
      <c r="G205" s="12">
        <v>4</v>
      </c>
      <c r="H205" s="12" t="s">
        <v>214</v>
      </c>
      <c r="I205" s="45">
        <v>42735</v>
      </c>
      <c r="J205" s="45">
        <v>42703</v>
      </c>
      <c r="K205" s="45">
        <v>42671</v>
      </c>
      <c r="L205" s="12" t="s">
        <v>91</v>
      </c>
      <c r="M205" s="12" t="s">
        <v>60</v>
      </c>
      <c r="N205" s="12"/>
      <c r="O205" s="12"/>
      <c r="P205" s="12" t="s">
        <v>795</v>
      </c>
      <c r="Q205" s="12"/>
    </row>
    <row r="206" spans="1:17" ht="39" customHeight="1" x14ac:dyDescent="0.25">
      <c r="A206" s="12" t="s">
        <v>815</v>
      </c>
      <c r="B206" s="12" t="s">
        <v>150</v>
      </c>
      <c r="C206" s="12" t="s">
        <v>151</v>
      </c>
      <c r="D206" s="12" t="s">
        <v>220</v>
      </c>
      <c r="E206" s="12" t="s">
        <v>212</v>
      </c>
      <c r="F206" s="12" t="s">
        <v>816</v>
      </c>
      <c r="G206" s="12">
        <v>5</v>
      </c>
      <c r="H206" s="12" t="s">
        <v>214</v>
      </c>
      <c r="I206" s="45">
        <v>45292</v>
      </c>
      <c r="J206" s="45">
        <v>45260</v>
      </c>
      <c r="K206" s="45">
        <v>45245</v>
      </c>
      <c r="L206" s="12" t="s">
        <v>91</v>
      </c>
      <c r="M206" s="12" t="s">
        <v>60</v>
      </c>
      <c r="N206" s="12"/>
      <c r="O206" s="12"/>
      <c r="P206" s="12" t="s">
        <v>817</v>
      </c>
      <c r="Q206" s="12"/>
    </row>
    <row r="207" spans="1:17" ht="26.1" customHeight="1" x14ac:dyDescent="0.25">
      <c r="A207" s="12" t="s">
        <v>818</v>
      </c>
      <c r="B207" s="12" t="s">
        <v>150</v>
      </c>
      <c r="C207" s="12" t="s">
        <v>151</v>
      </c>
      <c r="D207" s="12" t="s">
        <v>224</v>
      </c>
      <c r="E207" s="12" t="s">
        <v>212</v>
      </c>
      <c r="F207" s="12" t="s">
        <v>604</v>
      </c>
      <c r="G207" s="12">
        <v>6</v>
      </c>
      <c r="H207" s="12" t="s">
        <v>214</v>
      </c>
      <c r="I207" s="45">
        <v>44927</v>
      </c>
      <c r="J207" s="45">
        <v>44895</v>
      </c>
      <c r="K207" s="45">
        <v>44888</v>
      </c>
      <c r="L207" s="12" t="s">
        <v>91</v>
      </c>
      <c r="M207" s="12" t="s">
        <v>60</v>
      </c>
      <c r="N207" s="12"/>
      <c r="O207" s="12"/>
      <c r="P207" s="12" t="s">
        <v>819</v>
      </c>
      <c r="Q207" s="12"/>
    </row>
    <row r="208" spans="1:17" ht="39" customHeight="1" x14ac:dyDescent="0.25">
      <c r="A208" s="12" t="s">
        <v>820</v>
      </c>
      <c r="B208" s="12" t="s">
        <v>150</v>
      </c>
      <c r="C208" s="12" t="s">
        <v>151</v>
      </c>
      <c r="D208" s="12" t="s">
        <v>228</v>
      </c>
      <c r="E208" s="12" t="s">
        <v>212</v>
      </c>
      <c r="F208" s="12" t="s">
        <v>821</v>
      </c>
      <c r="G208" s="12">
        <v>7</v>
      </c>
      <c r="H208" s="12" t="s">
        <v>214</v>
      </c>
      <c r="I208" s="45">
        <v>44562</v>
      </c>
      <c r="J208" s="45">
        <v>44522</v>
      </c>
      <c r="K208" s="45">
        <v>44523</v>
      </c>
      <c r="L208" s="12" t="s">
        <v>91</v>
      </c>
      <c r="M208" s="12" t="s">
        <v>60</v>
      </c>
      <c r="N208" s="12"/>
      <c r="O208" s="12"/>
      <c r="P208" s="12" t="s">
        <v>822</v>
      </c>
      <c r="Q208" s="12"/>
    </row>
    <row r="209" spans="1:17" ht="26.1" customHeight="1" x14ac:dyDescent="0.25">
      <c r="A209" s="12" t="s">
        <v>823</v>
      </c>
      <c r="B209" s="12" t="s">
        <v>150</v>
      </c>
      <c r="C209" s="12" t="s">
        <v>151</v>
      </c>
      <c r="D209" s="12" t="s">
        <v>232</v>
      </c>
      <c r="E209" s="12" t="s">
        <v>212</v>
      </c>
      <c r="F209" s="12" t="s">
        <v>824</v>
      </c>
      <c r="G209" s="12">
        <v>7</v>
      </c>
      <c r="H209" s="12" t="s">
        <v>214</v>
      </c>
      <c r="I209" s="45">
        <v>44197</v>
      </c>
      <c r="J209" s="45">
        <v>44147</v>
      </c>
      <c r="K209" s="45">
        <v>44161</v>
      </c>
      <c r="L209" s="12" t="s">
        <v>91</v>
      </c>
      <c r="M209" s="12" t="s">
        <v>60</v>
      </c>
      <c r="N209" s="12"/>
      <c r="O209" s="12"/>
      <c r="P209" s="12" t="s">
        <v>825</v>
      </c>
      <c r="Q209" s="12"/>
    </row>
    <row r="210" spans="1:17" ht="26.1" customHeight="1" x14ac:dyDescent="0.25">
      <c r="A210" s="12" t="s">
        <v>826</v>
      </c>
      <c r="B210" s="12" t="s">
        <v>150</v>
      </c>
      <c r="C210" s="12" t="s">
        <v>151</v>
      </c>
      <c r="D210" s="12" t="s">
        <v>236</v>
      </c>
      <c r="E210" s="12" t="s">
        <v>212</v>
      </c>
      <c r="F210" s="12" t="s">
        <v>827</v>
      </c>
      <c r="G210" s="12">
        <v>8</v>
      </c>
      <c r="H210" s="12" t="s">
        <v>214</v>
      </c>
      <c r="I210" s="45">
        <v>43831</v>
      </c>
      <c r="J210" s="45">
        <v>43767</v>
      </c>
      <c r="K210" s="45">
        <v>43767</v>
      </c>
      <c r="L210" s="12" t="s">
        <v>91</v>
      </c>
      <c r="M210" s="12" t="s">
        <v>60</v>
      </c>
      <c r="N210" s="12"/>
      <c r="O210" s="12"/>
      <c r="P210" s="12" t="s">
        <v>828</v>
      </c>
      <c r="Q210" s="12"/>
    </row>
    <row r="211" spans="1:17" ht="26.1" customHeight="1" x14ac:dyDescent="0.25">
      <c r="A211" s="12" t="s">
        <v>829</v>
      </c>
      <c r="B211" s="12" t="s">
        <v>150</v>
      </c>
      <c r="C211" s="12" t="s">
        <v>151</v>
      </c>
      <c r="D211" s="12" t="s">
        <v>55</v>
      </c>
      <c r="E211" s="12" t="s">
        <v>212</v>
      </c>
      <c r="F211" s="12" t="s">
        <v>407</v>
      </c>
      <c r="G211" s="12">
        <v>8</v>
      </c>
      <c r="H211" s="12" t="s">
        <v>214</v>
      </c>
      <c r="I211" s="45">
        <v>43466</v>
      </c>
      <c r="J211" s="45">
        <v>43423</v>
      </c>
      <c r="K211" s="45">
        <v>43404</v>
      </c>
      <c r="L211" s="12" t="s">
        <v>91</v>
      </c>
      <c r="M211" s="12" t="s">
        <v>60</v>
      </c>
      <c r="N211" s="12"/>
      <c r="O211" s="12"/>
      <c r="P211" s="12" t="s">
        <v>830</v>
      </c>
      <c r="Q211" s="12"/>
    </row>
    <row r="212" spans="1:17" ht="26.1" customHeight="1" x14ac:dyDescent="0.25">
      <c r="A212" s="12" t="s">
        <v>831</v>
      </c>
      <c r="B212" s="12" t="s">
        <v>150</v>
      </c>
      <c r="C212" s="12" t="s">
        <v>151</v>
      </c>
      <c r="D212" s="12" t="s">
        <v>77</v>
      </c>
      <c r="E212" s="12" t="s">
        <v>212</v>
      </c>
      <c r="F212" s="12" t="s">
        <v>604</v>
      </c>
      <c r="G212" s="12">
        <v>6</v>
      </c>
      <c r="H212" s="12" t="s">
        <v>550</v>
      </c>
      <c r="I212" s="45">
        <v>42370</v>
      </c>
      <c r="J212" s="45">
        <v>42338</v>
      </c>
      <c r="K212" s="45">
        <v>42338</v>
      </c>
      <c r="L212" s="12" t="s">
        <v>91</v>
      </c>
      <c r="M212" s="12" t="s">
        <v>60</v>
      </c>
      <c r="N212" s="12"/>
      <c r="O212" s="12"/>
      <c r="P212" s="12" t="s">
        <v>832</v>
      </c>
      <c r="Q212" s="12"/>
    </row>
    <row r="213" spans="1:17" ht="117" customHeight="1" x14ac:dyDescent="0.25">
      <c r="A213" s="12" t="s">
        <v>833</v>
      </c>
      <c r="B213" s="12" t="s">
        <v>150</v>
      </c>
      <c r="C213" s="12" t="s">
        <v>151</v>
      </c>
      <c r="D213" s="12" t="s">
        <v>83</v>
      </c>
      <c r="E213" s="12" t="s">
        <v>212</v>
      </c>
      <c r="F213" s="12" t="s">
        <v>407</v>
      </c>
      <c r="G213" s="12">
        <v>8</v>
      </c>
      <c r="H213" s="12" t="s">
        <v>214</v>
      </c>
      <c r="I213" s="45">
        <v>43101</v>
      </c>
      <c r="J213" s="45">
        <v>43039</v>
      </c>
      <c r="K213" s="45">
        <v>43104</v>
      </c>
      <c r="L213" s="12" t="s">
        <v>91</v>
      </c>
      <c r="M213" s="12" t="s">
        <v>60</v>
      </c>
      <c r="N213" s="12"/>
      <c r="O213" s="12"/>
      <c r="P213" s="12" t="s">
        <v>834</v>
      </c>
      <c r="Q213" s="12"/>
    </row>
    <row r="214" spans="1:17" ht="39" customHeight="1" x14ac:dyDescent="0.25">
      <c r="A214" s="12" t="s">
        <v>835</v>
      </c>
      <c r="B214" s="12" t="s">
        <v>150</v>
      </c>
      <c r="C214" s="12" t="s">
        <v>151</v>
      </c>
      <c r="D214" s="12" t="s">
        <v>126</v>
      </c>
      <c r="E214" s="12" t="s">
        <v>212</v>
      </c>
      <c r="F214" s="12" t="s">
        <v>390</v>
      </c>
      <c r="G214" s="12">
        <v>6</v>
      </c>
      <c r="H214" s="12" t="s">
        <v>836</v>
      </c>
      <c r="I214" s="45">
        <v>42736</v>
      </c>
      <c r="J214" s="45">
        <v>42682</v>
      </c>
      <c r="K214" s="45">
        <v>42683</v>
      </c>
      <c r="L214" s="12" t="s">
        <v>91</v>
      </c>
      <c r="M214" s="12" t="s">
        <v>60</v>
      </c>
      <c r="N214" s="12"/>
      <c r="O214" s="12"/>
      <c r="P214" s="12" t="s">
        <v>837</v>
      </c>
      <c r="Q214" s="12"/>
    </row>
    <row r="215" spans="1:17" ht="26.1" customHeight="1" x14ac:dyDescent="0.25">
      <c r="A215" s="12" t="s">
        <v>838</v>
      </c>
      <c r="B215" s="12" t="s">
        <v>150</v>
      </c>
      <c r="C215" s="12" t="s">
        <v>151</v>
      </c>
      <c r="D215" s="12" t="s">
        <v>252</v>
      </c>
      <c r="E215" s="12" t="s">
        <v>56</v>
      </c>
      <c r="F215" s="12" t="s">
        <v>839</v>
      </c>
      <c r="G215" s="12">
        <v>5</v>
      </c>
      <c r="H215" s="12" t="s">
        <v>214</v>
      </c>
      <c r="I215" s="45">
        <v>45658</v>
      </c>
      <c r="J215" s="45">
        <v>45625</v>
      </c>
      <c r="K215" s="45">
        <v>45596</v>
      </c>
      <c r="L215" s="12" t="s">
        <v>59</v>
      </c>
      <c r="M215" s="12" t="s">
        <v>60</v>
      </c>
      <c r="N215" s="12"/>
      <c r="O215" s="12"/>
      <c r="P215" s="12" t="s">
        <v>840</v>
      </c>
      <c r="Q215" s="12"/>
    </row>
    <row r="216" spans="1:17" ht="26.1" customHeight="1" x14ac:dyDescent="0.25">
      <c r="A216" s="12" t="s">
        <v>841</v>
      </c>
      <c r="B216" s="12" t="s">
        <v>157</v>
      </c>
      <c r="C216" s="12" t="s">
        <v>842</v>
      </c>
      <c r="D216" s="12" t="s">
        <v>220</v>
      </c>
      <c r="E216" s="12" t="s">
        <v>212</v>
      </c>
      <c r="F216" s="12" t="s">
        <v>843</v>
      </c>
      <c r="G216" s="12">
        <v>4</v>
      </c>
      <c r="H216" s="12" t="s">
        <v>214</v>
      </c>
      <c r="I216" s="45">
        <v>45292</v>
      </c>
      <c r="J216" s="45">
        <v>45271</v>
      </c>
      <c r="K216" s="45">
        <v>45257</v>
      </c>
      <c r="L216" s="12" t="s">
        <v>91</v>
      </c>
      <c r="M216" s="12" t="s">
        <v>60</v>
      </c>
      <c r="N216" s="12"/>
      <c r="O216" s="12"/>
      <c r="P216" s="12" t="s">
        <v>844</v>
      </c>
      <c r="Q216" s="12"/>
    </row>
    <row r="217" spans="1:17" ht="26.1" customHeight="1" x14ac:dyDescent="0.25">
      <c r="A217" s="12" t="s">
        <v>845</v>
      </c>
      <c r="B217" s="12" t="s">
        <v>157</v>
      </c>
      <c r="C217" s="12" t="s">
        <v>842</v>
      </c>
      <c r="D217" s="12" t="s">
        <v>224</v>
      </c>
      <c r="E217" s="12" t="s">
        <v>212</v>
      </c>
      <c r="F217" s="12" t="s">
        <v>846</v>
      </c>
      <c r="G217" s="12">
        <v>4</v>
      </c>
      <c r="H217" s="12" t="s">
        <v>214</v>
      </c>
      <c r="I217" s="45">
        <v>44927</v>
      </c>
      <c r="J217" s="45">
        <v>44907</v>
      </c>
      <c r="K217" s="45">
        <v>44910</v>
      </c>
      <c r="L217" s="12" t="s">
        <v>91</v>
      </c>
      <c r="M217" s="12" t="s">
        <v>60</v>
      </c>
      <c r="N217" s="12"/>
      <c r="O217" s="12"/>
      <c r="P217" s="12" t="s">
        <v>844</v>
      </c>
      <c r="Q217" s="12"/>
    </row>
    <row r="218" spans="1:17" ht="39" customHeight="1" x14ac:dyDescent="0.25">
      <c r="A218" s="12" t="s">
        <v>847</v>
      </c>
      <c r="B218" s="12" t="s">
        <v>157</v>
      </c>
      <c r="C218" s="12" t="s">
        <v>842</v>
      </c>
      <c r="D218" s="12" t="s">
        <v>228</v>
      </c>
      <c r="E218" s="12" t="s">
        <v>212</v>
      </c>
      <c r="F218" s="12" t="s">
        <v>848</v>
      </c>
      <c r="G218" s="12">
        <v>4</v>
      </c>
      <c r="H218" s="12" t="s">
        <v>214</v>
      </c>
      <c r="I218" s="45">
        <v>44562</v>
      </c>
      <c r="J218" s="45">
        <v>44546</v>
      </c>
      <c r="K218" s="45">
        <v>44547</v>
      </c>
      <c r="L218" s="12" t="s">
        <v>91</v>
      </c>
      <c r="M218" s="12" t="s">
        <v>60</v>
      </c>
      <c r="N218" s="12"/>
      <c r="O218" s="12"/>
      <c r="P218" s="12" t="s">
        <v>844</v>
      </c>
      <c r="Q218" s="12"/>
    </row>
    <row r="219" spans="1:17" ht="39" customHeight="1" x14ac:dyDescent="0.25">
      <c r="A219" s="12" t="s">
        <v>849</v>
      </c>
      <c r="B219" s="12" t="s">
        <v>157</v>
      </c>
      <c r="C219" s="12" t="s">
        <v>842</v>
      </c>
      <c r="D219" s="12" t="s">
        <v>232</v>
      </c>
      <c r="E219" s="12" t="s">
        <v>212</v>
      </c>
      <c r="F219" s="12" t="s">
        <v>850</v>
      </c>
      <c r="G219" s="12">
        <v>4</v>
      </c>
      <c r="H219" s="12" t="s">
        <v>214</v>
      </c>
      <c r="I219" s="45">
        <v>44197</v>
      </c>
      <c r="J219" s="45">
        <v>44196</v>
      </c>
      <c r="K219" s="45">
        <v>44196</v>
      </c>
      <c r="L219" s="12" t="s">
        <v>91</v>
      </c>
      <c r="M219" s="12" t="s">
        <v>60</v>
      </c>
      <c r="N219" s="12"/>
      <c r="O219" s="12"/>
      <c r="P219" s="12" t="s">
        <v>844</v>
      </c>
      <c r="Q219" s="12"/>
    </row>
    <row r="220" spans="1:17" ht="39" customHeight="1" x14ac:dyDescent="0.25">
      <c r="A220" s="12" t="s">
        <v>851</v>
      </c>
      <c r="B220" s="12" t="s">
        <v>157</v>
      </c>
      <c r="C220" s="12" t="s">
        <v>842</v>
      </c>
      <c r="D220" s="12" t="s">
        <v>236</v>
      </c>
      <c r="E220" s="12" t="s">
        <v>212</v>
      </c>
      <c r="F220" s="12" t="s">
        <v>754</v>
      </c>
      <c r="G220" s="12">
        <v>4</v>
      </c>
      <c r="H220" s="12" t="s">
        <v>214</v>
      </c>
      <c r="I220" s="45">
        <v>43831</v>
      </c>
      <c r="J220" s="45">
        <v>43819</v>
      </c>
      <c r="K220" s="45">
        <v>43819</v>
      </c>
      <c r="L220" s="12" t="s">
        <v>91</v>
      </c>
      <c r="M220" s="12" t="s">
        <v>60</v>
      </c>
      <c r="N220" s="12"/>
      <c r="O220" s="12"/>
      <c r="P220" s="12" t="s">
        <v>844</v>
      </c>
      <c r="Q220" s="12"/>
    </row>
    <row r="221" spans="1:17" ht="39" customHeight="1" x14ac:dyDescent="0.25">
      <c r="A221" s="12" t="s">
        <v>852</v>
      </c>
      <c r="B221" s="12" t="s">
        <v>157</v>
      </c>
      <c r="C221" s="12" t="s">
        <v>842</v>
      </c>
      <c r="D221" s="12" t="s">
        <v>55</v>
      </c>
      <c r="E221" s="12" t="s">
        <v>212</v>
      </c>
      <c r="F221" s="12" t="s">
        <v>694</v>
      </c>
      <c r="G221" s="12">
        <v>3</v>
      </c>
      <c r="H221" s="12" t="s">
        <v>214</v>
      </c>
      <c r="I221" s="45">
        <v>43466</v>
      </c>
      <c r="J221" s="45"/>
      <c r="K221" s="45">
        <v>43474</v>
      </c>
      <c r="L221" s="12" t="s">
        <v>91</v>
      </c>
      <c r="M221" s="12" t="s">
        <v>60</v>
      </c>
      <c r="N221" s="12"/>
      <c r="O221" s="12"/>
      <c r="P221" s="12" t="s">
        <v>844</v>
      </c>
      <c r="Q221" s="12"/>
    </row>
    <row r="222" spans="1:17" ht="39" customHeight="1" x14ac:dyDescent="0.25">
      <c r="A222" s="12" t="s">
        <v>853</v>
      </c>
      <c r="B222" s="12" t="s">
        <v>157</v>
      </c>
      <c r="C222" s="12" t="s">
        <v>842</v>
      </c>
      <c r="D222" s="12" t="s">
        <v>83</v>
      </c>
      <c r="E222" s="12" t="s">
        <v>212</v>
      </c>
      <c r="F222" s="12" t="s">
        <v>694</v>
      </c>
      <c r="G222" s="12">
        <v>3</v>
      </c>
      <c r="H222" s="12" t="s">
        <v>214</v>
      </c>
      <c r="I222" s="45">
        <v>43101</v>
      </c>
      <c r="J222" s="45">
        <v>43073</v>
      </c>
      <c r="K222" s="45">
        <v>43073</v>
      </c>
      <c r="L222" s="12" t="s">
        <v>91</v>
      </c>
      <c r="M222" s="12" t="s">
        <v>60</v>
      </c>
      <c r="N222" s="12"/>
      <c r="O222" s="12"/>
      <c r="P222" s="12" t="s">
        <v>844</v>
      </c>
      <c r="Q222" s="12"/>
    </row>
    <row r="223" spans="1:17" ht="39" customHeight="1" x14ac:dyDescent="0.25">
      <c r="A223" s="12" t="s">
        <v>854</v>
      </c>
      <c r="B223" s="12" t="s">
        <v>157</v>
      </c>
      <c r="C223" s="12" t="s">
        <v>842</v>
      </c>
      <c r="D223" s="12" t="s">
        <v>252</v>
      </c>
      <c r="E223" s="12" t="s">
        <v>212</v>
      </c>
      <c r="F223" s="12" t="s">
        <v>848</v>
      </c>
      <c r="G223" s="12">
        <v>4</v>
      </c>
      <c r="H223" s="12" t="s">
        <v>214</v>
      </c>
      <c r="I223" s="45">
        <v>45658</v>
      </c>
      <c r="J223" s="45">
        <v>45481</v>
      </c>
      <c r="K223" s="45">
        <v>45467</v>
      </c>
      <c r="L223" s="12" t="s">
        <v>59</v>
      </c>
      <c r="M223" s="12" t="s">
        <v>60</v>
      </c>
      <c r="N223" s="12"/>
      <c r="O223" s="12"/>
      <c r="P223" s="12" t="s">
        <v>855</v>
      </c>
      <c r="Q223" s="12"/>
    </row>
    <row r="224" spans="1:17" ht="39" customHeight="1" x14ac:dyDescent="0.25">
      <c r="A224" s="12" t="s">
        <v>856</v>
      </c>
      <c r="B224" s="12" t="s">
        <v>157</v>
      </c>
      <c r="C224" s="12" t="s">
        <v>842</v>
      </c>
      <c r="D224" s="12" t="s">
        <v>126</v>
      </c>
      <c r="E224" s="12" t="s">
        <v>212</v>
      </c>
      <c r="F224" s="12" t="s">
        <v>694</v>
      </c>
      <c r="G224" s="12">
        <v>3</v>
      </c>
      <c r="H224" s="12" t="s">
        <v>214</v>
      </c>
      <c r="I224" s="45">
        <v>42736</v>
      </c>
      <c r="J224" s="45"/>
      <c r="K224" s="45">
        <v>42702</v>
      </c>
      <c r="L224" s="12" t="s">
        <v>91</v>
      </c>
      <c r="M224" s="12" t="s">
        <v>60</v>
      </c>
      <c r="N224" s="12"/>
      <c r="O224" s="12"/>
      <c r="P224" s="12"/>
      <c r="Q224" s="12"/>
    </row>
    <row r="225" spans="1:17" ht="26.1" customHeight="1" x14ac:dyDescent="0.25">
      <c r="A225" s="12" t="s">
        <v>857</v>
      </c>
      <c r="B225" s="12" t="s">
        <v>157</v>
      </c>
      <c r="C225" s="12" t="s">
        <v>842</v>
      </c>
      <c r="D225" s="12" t="s">
        <v>77</v>
      </c>
      <c r="E225" s="12" t="s">
        <v>212</v>
      </c>
      <c r="F225" s="12" t="s">
        <v>858</v>
      </c>
      <c r="G225" s="12">
        <v>3</v>
      </c>
      <c r="H225" s="12" t="s">
        <v>550</v>
      </c>
      <c r="I225" s="45">
        <v>42370</v>
      </c>
      <c r="J225" s="45">
        <v>42345</v>
      </c>
      <c r="K225" s="45">
        <v>42338</v>
      </c>
      <c r="L225" s="12" t="s">
        <v>91</v>
      </c>
      <c r="M225" s="12" t="s">
        <v>60</v>
      </c>
      <c r="N225" s="12"/>
      <c r="O225" s="12"/>
      <c r="P225" s="12" t="s">
        <v>844</v>
      </c>
      <c r="Q225" s="12"/>
    </row>
    <row r="226" spans="1:17" ht="26.1" customHeight="1" x14ac:dyDescent="0.25">
      <c r="A226" s="12" t="s">
        <v>859</v>
      </c>
      <c r="B226" s="12" t="s">
        <v>163</v>
      </c>
      <c r="C226" s="12" t="s">
        <v>860</v>
      </c>
      <c r="D226" s="12" t="s">
        <v>252</v>
      </c>
      <c r="E226" s="12" t="s">
        <v>56</v>
      </c>
      <c r="F226" s="12" t="s">
        <v>861</v>
      </c>
      <c r="G226" s="12">
        <v>5</v>
      </c>
      <c r="H226" s="12" t="s">
        <v>214</v>
      </c>
      <c r="I226" s="45">
        <v>45627</v>
      </c>
      <c r="J226" s="45">
        <v>45583</v>
      </c>
      <c r="K226" s="45">
        <v>45597</v>
      </c>
      <c r="L226" s="12" t="s">
        <v>59</v>
      </c>
      <c r="M226" s="12" t="s">
        <v>60</v>
      </c>
      <c r="N226" s="12"/>
      <c r="O226" s="12"/>
      <c r="P226" s="12" t="s">
        <v>862</v>
      </c>
      <c r="Q226" s="12"/>
    </row>
    <row r="227" spans="1:17" ht="26.1" customHeight="1" x14ac:dyDescent="0.25">
      <c r="A227" s="12" t="s">
        <v>863</v>
      </c>
      <c r="B227" s="12" t="s">
        <v>163</v>
      </c>
      <c r="C227" s="12" t="s">
        <v>164</v>
      </c>
      <c r="D227" s="12" t="s">
        <v>67</v>
      </c>
      <c r="E227" s="12" t="s">
        <v>212</v>
      </c>
      <c r="F227" s="12" t="s">
        <v>864</v>
      </c>
      <c r="G227" s="12">
        <v>4</v>
      </c>
      <c r="H227" s="12" t="s">
        <v>214</v>
      </c>
      <c r="I227" s="45">
        <v>42370</v>
      </c>
      <c r="J227" s="45"/>
      <c r="K227" s="45">
        <v>41758</v>
      </c>
      <c r="L227" s="12" t="s">
        <v>91</v>
      </c>
      <c r="M227" s="12" t="s">
        <v>60</v>
      </c>
      <c r="N227" s="12"/>
      <c r="O227" s="12"/>
      <c r="P227" s="12"/>
      <c r="Q227" s="12"/>
    </row>
    <row r="228" spans="1:17" ht="26.1" customHeight="1" x14ac:dyDescent="0.25">
      <c r="A228" s="12" t="s">
        <v>865</v>
      </c>
      <c r="B228" s="12" t="s">
        <v>163</v>
      </c>
      <c r="C228" s="12" t="s">
        <v>164</v>
      </c>
      <c r="D228" s="12" t="s">
        <v>126</v>
      </c>
      <c r="E228" s="12" t="s">
        <v>212</v>
      </c>
      <c r="F228" s="12" t="s">
        <v>866</v>
      </c>
      <c r="G228" s="12">
        <v>5</v>
      </c>
      <c r="H228" s="12" t="s">
        <v>214</v>
      </c>
      <c r="I228" s="45">
        <v>42736</v>
      </c>
      <c r="J228" s="45">
        <v>42724</v>
      </c>
      <c r="K228" s="45">
        <v>42733</v>
      </c>
      <c r="L228" s="12" t="s">
        <v>91</v>
      </c>
      <c r="M228" s="12" t="s">
        <v>60</v>
      </c>
      <c r="N228" s="12"/>
      <c r="O228" s="12"/>
      <c r="P228" s="12"/>
      <c r="Q228" s="12"/>
    </row>
    <row r="229" spans="1:17" ht="26.1" customHeight="1" x14ac:dyDescent="0.25">
      <c r="A229" s="12" t="s">
        <v>867</v>
      </c>
      <c r="B229" s="12" t="s">
        <v>163</v>
      </c>
      <c r="C229" s="12" t="s">
        <v>164</v>
      </c>
      <c r="D229" s="12" t="s">
        <v>220</v>
      </c>
      <c r="E229" s="12" t="s">
        <v>212</v>
      </c>
      <c r="F229" s="12" t="s">
        <v>868</v>
      </c>
      <c r="G229" s="12">
        <v>5</v>
      </c>
      <c r="H229" s="12" t="s">
        <v>214</v>
      </c>
      <c r="I229" s="45">
        <v>45443</v>
      </c>
      <c r="J229" s="45">
        <v>45049</v>
      </c>
      <c r="K229" s="45">
        <v>45049</v>
      </c>
      <c r="L229" s="12" t="s">
        <v>59</v>
      </c>
      <c r="M229" s="12" t="s">
        <v>60</v>
      </c>
      <c r="N229" s="12"/>
      <c r="O229" s="12"/>
      <c r="P229" s="12" t="s">
        <v>869</v>
      </c>
      <c r="Q229" s="12"/>
    </row>
    <row r="230" spans="1:17" ht="65.099999999999994" customHeight="1" x14ac:dyDescent="0.25">
      <c r="A230" s="12" t="s">
        <v>870</v>
      </c>
      <c r="B230" s="12" t="s">
        <v>163</v>
      </c>
      <c r="C230" s="12" t="s">
        <v>164</v>
      </c>
      <c r="D230" s="12" t="s">
        <v>224</v>
      </c>
      <c r="E230" s="12" t="s">
        <v>212</v>
      </c>
      <c r="F230" s="12" t="s">
        <v>871</v>
      </c>
      <c r="G230" s="12">
        <v>5</v>
      </c>
      <c r="H230" s="12" t="s">
        <v>214</v>
      </c>
      <c r="I230" s="45">
        <v>44896</v>
      </c>
      <c r="J230" s="45">
        <v>44865</v>
      </c>
      <c r="K230" s="45">
        <v>44866</v>
      </c>
      <c r="L230" s="12" t="s">
        <v>91</v>
      </c>
      <c r="M230" s="12" t="s">
        <v>60</v>
      </c>
      <c r="N230" s="12"/>
      <c r="O230" s="12"/>
      <c r="P230" s="12"/>
      <c r="Q230" s="12"/>
    </row>
    <row r="231" spans="1:17" ht="26.1" customHeight="1" x14ac:dyDescent="0.25">
      <c r="A231" s="12" t="s">
        <v>872</v>
      </c>
      <c r="B231" s="12" t="s">
        <v>163</v>
      </c>
      <c r="C231" s="12" t="s">
        <v>164</v>
      </c>
      <c r="D231" s="12" t="s">
        <v>228</v>
      </c>
      <c r="E231" s="12" t="s">
        <v>212</v>
      </c>
      <c r="F231" s="12" t="s">
        <v>873</v>
      </c>
      <c r="G231" s="12">
        <v>5</v>
      </c>
      <c r="H231" s="12" t="s">
        <v>214</v>
      </c>
      <c r="I231" s="45">
        <v>44529</v>
      </c>
      <c r="J231" s="45">
        <v>44498</v>
      </c>
      <c r="K231" s="45">
        <v>44498</v>
      </c>
      <c r="L231" s="12" t="s">
        <v>91</v>
      </c>
      <c r="M231" s="12" t="s">
        <v>60</v>
      </c>
      <c r="N231" s="12"/>
      <c r="O231" s="12"/>
      <c r="P231" s="12"/>
      <c r="Q231" s="12"/>
    </row>
    <row r="232" spans="1:17" ht="39" customHeight="1" x14ac:dyDescent="0.25">
      <c r="A232" s="12" t="s">
        <v>874</v>
      </c>
      <c r="B232" s="12" t="s">
        <v>163</v>
      </c>
      <c r="C232" s="12" t="s">
        <v>164</v>
      </c>
      <c r="D232" s="12" t="s">
        <v>232</v>
      </c>
      <c r="E232" s="12" t="s">
        <v>212</v>
      </c>
      <c r="F232" s="12" t="s">
        <v>875</v>
      </c>
      <c r="G232" s="12">
        <v>5</v>
      </c>
      <c r="H232" s="12" t="s">
        <v>214</v>
      </c>
      <c r="I232" s="45">
        <v>44193</v>
      </c>
      <c r="J232" s="45">
        <v>44119</v>
      </c>
      <c r="K232" s="45">
        <v>44162</v>
      </c>
      <c r="L232" s="12" t="s">
        <v>91</v>
      </c>
      <c r="M232" s="12" t="s">
        <v>60</v>
      </c>
      <c r="N232" s="12"/>
      <c r="O232" s="12"/>
      <c r="P232" s="12" t="s">
        <v>876</v>
      </c>
      <c r="Q232" s="12"/>
    </row>
    <row r="233" spans="1:17" ht="26.1" customHeight="1" x14ac:dyDescent="0.25">
      <c r="A233" s="12" t="s">
        <v>877</v>
      </c>
      <c r="B233" s="12" t="s">
        <v>163</v>
      </c>
      <c r="C233" s="12" t="s">
        <v>164</v>
      </c>
      <c r="D233" s="12" t="s">
        <v>232</v>
      </c>
      <c r="E233" s="12" t="s">
        <v>212</v>
      </c>
      <c r="F233" s="12" t="s">
        <v>878</v>
      </c>
      <c r="G233" s="12">
        <v>5</v>
      </c>
      <c r="H233" s="12" t="s">
        <v>214</v>
      </c>
      <c r="I233" s="45">
        <v>43944</v>
      </c>
      <c r="J233" s="45">
        <v>43929</v>
      </c>
      <c r="K233" s="45">
        <v>43913</v>
      </c>
      <c r="L233" s="12" t="s">
        <v>91</v>
      </c>
      <c r="M233" s="12" t="s">
        <v>60</v>
      </c>
      <c r="N233" s="12"/>
      <c r="O233" s="12"/>
      <c r="P233" s="12" t="s">
        <v>879</v>
      </c>
      <c r="Q233" s="12"/>
    </row>
    <row r="234" spans="1:17" ht="26.1" customHeight="1" x14ac:dyDescent="0.25">
      <c r="A234" s="12" t="s">
        <v>880</v>
      </c>
      <c r="B234" s="12" t="s">
        <v>163</v>
      </c>
      <c r="C234" s="12" t="s">
        <v>164</v>
      </c>
      <c r="D234" s="12" t="s">
        <v>236</v>
      </c>
      <c r="E234" s="12" t="s">
        <v>212</v>
      </c>
      <c r="F234" s="12" t="s">
        <v>881</v>
      </c>
      <c r="G234" s="12">
        <v>5</v>
      </c>
      <c r="H234" s="12" t="s">
        <v>214</v>
      </c>
      <c r="I234" s="45">
        <v>43831</v>
      </c>
      <c r="J234" s="45">
        <v>43770</v>
      </c>
      <c r="K234" s="45">
        <v>43770</v>
      </c>
      <c r="L234" s="12" t="s">
        <v>91</v>
      </c>
      <c r="M234" s="12" t="s">
        <v>60</v>
      </c>
      <c r="N234" s="12"/>
      <c r="O234" s="12"/>
      <c r="P234" s="12"/>
      <c r="Q234" s="12"/>
    </row>
    <row r="235" spans="1:17" ht="26.1" customHeight="1" x14ac:dyDescent="0.25">
      <c r="A235" s="12" t="s">
        <v>882</v>
      </c>
      <c r="B235" s="12" t="s">
        <v>163</v>
      </c>
      <c r="C235" s="12" t="s">
        <v>164</v>
      </c>
      <c r="D235" s="12" t="s">
        <v>55</v>
      </c>
      <c r="E235" s="12" t="s">
        <v>212</v>
      </c>
      <c r="F235" s="12" t="s">
        <v>816</v>
      </c>
      <c r="G235" s="12">
        <v>5</v>
      </c>
      <c r="H235" s="12" t="s">
        <v>214</v>
      </c>
      <c r="I235" s="45">
        <v>43405</v>
      </c>
      <c r="J235" s="45">
        <v>43405</v>
      </c>
      <c r="K235" s="45">
        <v>43404</v>
      </c>
      <c r="L235" s="12" t="s">
        <v>91</v>
      </c>
      <c r="M235" s="12" t="s">
        <v>60</v>
      </c>
      <c r="N235" s="12"/>
      <c r="O235" s="12"/>
      <c r="P235" s="12" t="s">
        <v>883</v>
      </c>
      <c r="Q235" s="12"/>
    </row>
    <row r="236" spans="1:17" ht="26.1" customHeight="1" x14ac:dyDescent="0.25">
      <c r="A236" s="12" t="s">
        <v>884</v>
      </c>
      <c r="B236" s="12" t="s">
        <v>163</v>
      </c>
      <c r="C236" s="12" t="s">
        <v>164</v>
      </c>
      <c r="D236" s="12" t="s">
        <v>83</v>
      </c>
      <c r="E236" s="12" t="s">
        <v>212</v>
      </c>
      <c r="F236" s="12" t="s">
        <v>816</v>
      </c>
      <c r="G236" s="12">
        <v>5</v>
      </c>
      <c r="H236" s="12" t="s">
        <v>214</v>
      </c>
      <c r="I236" s="45">
        <v>43101</v>
      </c>
      <c r="J236" s="45">
        <v>43040</v>
      </c>
      <c r="K236" s="45">
        <v>43035</v>
      </c>
      <c r="L236" s="12" t="s">
        <v>91</v>
      </c>
      <c r="M236" s="12" t="s">
        <v>60</v>
      </c>
      <c r="N236" s="12"/>
      <c r="O236" s="12"/>
      <c r="P236" s="12"/>
      <c r="Q236" s="12"/>
    </row>
    <row r="237" spans="1:17" ht="26.1" customHeight="1" x14ac:dyDescent="0.25">
      <c r="A237" s="12" t="s">
        <v>885</v>
      </c>
      <c r="B237" s="12" t="s">
        <v>163</v>
      </c>
      <c r="C237" s="12" t="s">
        <v>164</v>
      </c>
      <c r="D237" s="12" t="s">
        <v>77</v>
      </c>
      <c r="E237" s="12" t="s">
        <v>212</v>
      </c>
      <c r="F237" s="12" t="s">
        <v>816</v>
      </c>
      <c r="G237" s="12">
        <v>5</v>
      </c>
      <c r="H237" s="12" t="s">
        <v>550</v>
      </c>
      <c r="I237" s="45">
        <v>42370</v>
      </c>
      <c r="J237" s="45">
        <v>42331</v>
      </c>
      <c r="K237" s="45">
        <v>42335</v>
      </c>
      <c r="L237" s="12" t="s">
        <v>91</v>
      </c>
      <c r="M237" s="12" t="s">
        <v>60</v>
      </c>
      <c r="N237" s="12"/>
      <c r="O237" s="12"/>
      <c r="P237" s="12" t="s">
        <v>886</v>
      </c>
      <c r="Q237" s="12"/>
    </row>
    <row r="238" spans="1:17" ht="39" customHeight="1" x14ac:dyDescent="0.25">
      <c r="A238" s="12" t="s">
        <v>887</v>
      </c>
      <c r="B238" s="12" t="s">
        <v>166</v>
      </c>
      <c r="C238" s="12" t="s">
        <v>167</v>
      </c>
      <c r="D238" s="12" t="s">
        <v>220</v>
      </c>
      <c r="E238" s="12" t="s">
        <v>212</v>
      </c>
      <c r="F238" s="12" t="s">
        <v>888</v>
      </c>
      <c r="G238" s="12">
        <v>4</v>
      </c>
      <c r="H238" s="12" t="s">
        <v>214</v>
      </c>
      <c r="I238" s="45">
        <v>45199</v>
      </c>
      <c r="J238" s="45">
        <v>45198</v>
      </c>
      <c r="K238" s="45">
        <v>45103</v>
      </c>
      <c r="L238" s="12" t="s">
        <v>91</v>
      </c>
      <c r="M238" s="12" t="s">
        <v>60</v>
      </c>
      <c r="N238" s="12"/>
      <c r="O238" s="12"/>
      <c r="P238" s="12" t="s">
        <v>889</v>
      </c>
      <c r="Q238" s="12"/>
    </row>
    <row r="239" spans="1:17" ht="26.1" customHeight="1" x14ac:dyDescent="0.25">
      <c r="A239" s="12" t="s">
        <v>890</v>
      </c>
      <c r="B239" s="12" t="s">
        <v>166</v>
      </c>
      <c r="C239" s="12" t="s">
        <v>167</v>
      </c>
      <c r="D239" s="12" t="s">
        <v>252</v>
      </c>
      <c r="E239" s="12" t="s">
        <v>212</v>
      </c>
      <c r="F239" s="12" t="s">
        <v>891</v>
      </c>
      <c r="G239" s="12">
        <v>4</v>
      </c>
      <c r="H239" s="12" t="s">
        <v>214</v>
      </c>
      <c r="I239" s="45">
        <v>45629</v>
      </c>
      <c r="J239" s="45">
        <v>45629</v>
      </c>
      <c r="K239" s="45">
        <v>45532</v>
      </c>
      <c r="L239" s="12" t="s">
        <v>59</v>
      </c>
      <c r="M239" s="12" t="s">
        <v>60</v>
      </c>
      <c r="N239" s="12"/>
      <c r="O239" s="12"/>
      <c r="P239" s="12"/>
      <c r="Q239" s="12"/>
    </row>
    <row r="240" spans="1:17" ht="26.1" customHeight="1" x14ac:dyDescent="0.25">
      <c r="A240" s="12" t="s">
        <v>892</v>
      </c>
      <c r="B240" s="12" t="s">
        <v>166</v>
      </c>
      <c r="C240" s="12" t="s">
        <v>167</v>
      </c>
      <c r="D240" s="12" t="s">
        <v>224</v>
      </c>
      <c r="E240" s="12" t="s">
        <v>212</v>
      </c>
      <c r="F240" s="12" t="s">
        <v>893</v>
      </c>
      <c r="G240" s="12">
        <v>3</v>
      </c>
      <c r="H240" s="12" t="s">
        <v>214</v>
      </c>
      <c r="I240" s="45">
        <v>44916</v>
      </c>
      <c r="J240" s="45">
        <v>44916</v>
      </c>
      <c r="K240" s="45">
        <v>44838</v>
      </c>
      <c r="L240" s="12" t="s">
        <v>91</v>
      </c>
      <c r="M240" s="12" t="s">
        <v>60</v>
      </c>
      <c r="N240" s="12"/>
      <c r="O240" s="12"/>
      <c r="P240" s="12" t="s">
        <v>894</v>
      </c>
      <c r="Q240" s="12"/>
    </row>
    <row r="241" spans="1:17" ht="26.1" customHeight="1" x14ac:dyDescent="0.25">
      <c r="A241" s="12" t="s">
        <v>895</v>
      </c>
      <c r="B241" s="12" t="s">
        <v>166</v>
      </c>
      <c r="C241" s="12" t="s">
        <v>167</v>
      </c>
      <c r="D241" s="12" t="s">
        <v>83</v>
      </c>
      <c r="E241" s="12" t="s">
        <v>212</v>
      </c>
      <c r="F241" s="12" t="s">
        <v>896</v>
      </c>
      <c r="G241" s="12">
        <v>2</v>
      </c>
      <c r="H241" s="12" t="s">
        <v>214</v>
      </c>
      <c r="I241" s="45">
        <v>43089</v>
      </c>
      <c r="J241" s="45">
        <v>43089</v>
      </c>
      <c r="K241" s="45">
        <v>43207</v>
      </c>
      <c r="L241" s="12" t="s">
        <v>91</v>
      </c>
      <c r="M241" s="12" t="s">
        <v>60</v>
      </c>
      <c r="N241" s="12"/>
      <c r="O241" s="12"/>
      <c r="P241" s="12" t="s">
        <v>897</v>
      </c>
      <c r="Q241" s="12"/>
    </row>
    <row r="242" spans="1:17" ht="26.1" customHeight="1" x14ac:dyDescent="0.25">
      <c r="A242" s="12" t="s">
        <v>898</v>
      </c>
      <c r="B242" s="12" t="s">
        <v>166</v>
      </c>
      <c r="C242" s="12" t="s">
        <v>167</v>
      </c>
      <c r="D242" s="12" t="s">
        <v>126</v>
      </c>
      <c r="E242" s="12" t="s">
        <v>212</v>
      </c>
      <c r="F242" s="12" t="s">
        <v>899</v>
      </c>
      <c r="G242" s="12">
        <v>3</v>
      </c>
      <c r="H242" s="12" t="s">
        <v>214</v>
      </c>
      <c r="I242" s="45">
        <v>42551</v>
      </c>
      <c r="J242" s="45">
        <v>42541</v>
      </c>
      <c r="K242" s="45">
        <v>43207</v>
      </c>
      <c r="L242" s="12" t="s">
        <v>91</v>
      </c>
      <c r="M242" s="12" t="s">
        <v>60</v>
      </c>
      <c r="N242" s="12"/>
      <c r="O242" s="12"/>
      <c r="P242" s="12" t="s">
        <v>900</v>
      </c>
      <c r="Q242" s="12"/>
    </row>
    <row r="243" spans="1:17" ht="26.1" customHeight="1" x14ac:dyDescent="0.25">
      <c r="A243" s="12" t="s">
        <v>901</v>
      </c>
      <c r="B243" s="12" t="s">
        <v>166</v>
      </c>
      <c r="C243" s="12" t="s">
        <v>167</v>
      </c>
      <c r="D243" s="12" t="s">
        <v>55</v>
      </c>
      <c r="E243" s="12" t="s">
        <v>212</v>
      </c>
      <c r="F243" s="12" t="s">
        <v>902</v>
      </c>
      <c r="G243" s="12">
        <v>2</v>
      </c>
      <c r="H243" s="12" t="s">
        <v>214</v>
      </c>
      <c r="I243" s="45">
        <v>43234</v>
      </c>
      <c r="J243" s="45">
        <v>43234</v>
      </c>
      <c r="K243" s="45">
        <v>43263</v>
      </c>
      <c r="L243" s="12" t="s">
        <v>91</v>
      </c>
      <c r="M243" s="12" t="s">
        <v>60</v>
      </c>
      <c r="N243" s="12"/>
      <c r="O243" s="12"/>
      <c r="P243" s="12" t="s">
        <v>903</v>
      </c>
      <c r="Q243" s="12"/>
    </row>
    <row r="244" spans="1:17" ht="26.1" customHeight="1" x14ac:dyDescent="0.25">
      <c r="A244" s="12" t="s">
        <v>904</v>
      </c>
      <c r="B244" s="12" t="s">
        <v>166</v>
      </c>
      <c r="C244" s="12" t="s">
        <v>167</v>
      </c>
      <c r="D244" s="12" t="s">
        <v>88</v>
      </c>
      <c r="E244" s="12" t="s">
        <v>212</v>
      </c>
      <c r="F244" s="12" t="s">
        <v>905</v>
      </c>
      <c r="G244" s="12">
        <v>3</v>
      </c>
      <c r="H244" s="12" t="s">
        <v>214</v>
      </c>
      <c r="I244" s="45">
        <v>41640</v>
      </c>
      <c r="J244" s="45">
        <v>41275</v>
      </c>
      <c r="K244" s="45">
        <v>41275</v>
      </c>
      <c r="L244" s="12" t="s">
        <v>91</v>
      </c>
      <c r="M244" s="12" t="s">
        <v>60</v>
      </c>
      <c r="N244" s="12"/>
      <c r="O244" s="12"/>
      <c r="P244" s="12" t="s">
        <v>906</v>
      </c>
      <c r="Q244" s="12"/>
    </row>
    <row r="245" spans="1:17" ht="26.1" customHeight="1" x14ac:dyDescent="0.25">
      <c r="A245" s="12" t="s">
        <v>907</v>
      </c>
      <c r="B245" s="12" t="s">
        <v>166</v>
      </c>
      <c r="C245" s="12" t="s">
        <v>167</v>
      </c>
      <c r="D245" s="12" t="s">
        <v>228</v>
      </c>
      <c r="E245" s="12" t="s">
        <v>212</v>
      </c>
      <c r="F245" s="12" t="s">
        <v>908</v>
      </c>
      <c r="G245" s="12">
        <v>3</v>
      </c>
      <c r="H245" s="12" t="s">
        <v>214</v>
      </c>
      <c r="I245" s="45">
        <v>44742</v>
      </c>
      <c r="J245" s="45">
        <v>44378</v>
      </c>
      <c r="K245" s="45">
        <v>44348</v>
      </c>
      <c r="L245" s="12" t="s">
        <v>91</v>
      </c>
      <c r="M245" s="12" t="s">
        <v>60</v>
      </c>
      <c r="N245" s="12"/>
      <c r="O245" s="12"/>
      <c r="P245" s="12" t="s">
        <v>909</v>
      </c>
      <c r="Q245" s="12"/>
    </row>
    <row r="246" spans="1:17" ht="26.1" customHeight="1" x14ac:dyDescent="0.25">
      <c r="A246" s="12" t="s">
        <v>910</v>
      </c>
      <c r="B246" s="12" t="s">
        <v>166</v>
      </c>
      <c r="C246" s="12" t="s">
        <v>167</v>
      </c>
      <c r="D246" s="12" t="s">
        <v>236</v>
      </c>
      <c r="E246" s="12" t="s">
        <v>212</v>
      </c>
      <c r="F246" s="12" t="s">
        <v>911</v>
      </c>
      <c r="G246" s="12">
        <v>2</v>
      </c>
      <c r="H246" s="12" t="s">
        <v>214</v>
      </c>
      <c r="I246" s="45">
        <v>43642</v>
      </c>
      <c r="J246" s="45">
        <v>43642</v>
      </c>
      <c r="K246" s="45">
        <v>43642</v>
      </c>
      <c r="L246" s="12" t="s">
        <v>91</v>
      </c>
      <c r="M246" s="12" t="s">
        <v>60</v>
      </c>
      <c r="N246" s="12"/>
      <c r="O246" s="12"/>
      <c r="P246" s="12" t="s">
        <v>912</v>
      </c>
      <c r="Q246" s="12"/>
    </row>
    <row r="247" spans="1:17" ht="26.1" customHeight="1" x14ac:dyDescent="0.25">
      <c r="A247" s="12" t="s">
        <v>913</v>
      </c>
      <c r="B247" s="12" t="s">
        <v>166</v>
      </c>
      <c r="C247" s="12" t="s">
        <v>167</v>
      </c>
      <c r="D247" s="12" t="s">
        <v>77</v>
      </c>
      <c r="E247" s="12" t="s">
        <v>212</v>
      </c>
      <c r="F247" s="12" t="s">
        <v>914</v>
      </c>
      <c r="G247" s="12">
        <v>3</v>
      </c>
      <c r="H247" s="12" t="s">
        <v>915</v>
      </c>
      <c r="I247" s="45">
        <v>42178</v>
      </c>
      <c r="J247" s="45">
        <v>42178</v>
      </c>
      <c r="K247" s="45">
        <v>42184</v>
      </c>
      <c r="L247" s="12" t="s">
        <v>91</v>
      </c>
      <c r="M247" s="12" t="s">
        <v>60</v>
      </c>
      <c r="N247" s="12"/>
      <c r="O247" s="12"/>
      <c r="P247" s="12" t="s">
        <v>906</v>
      </c>
      <c r="Q247" s="12"/>
    </row>
    <row r="248" spans="1:17" ht="51.95" customHeight="1" x14ac:dyDescent="0.25">
      <c r="A248" s="12" t="s">
        <v>916</v>
      </c>
      <c r="B248" s="12" t="s">
        <v>166</v>
      </c>
      <c r="C248" s="12" t="s">
        <v>167</v>
      </c>
      <c r="D248" s="12" t="s">
        <v>67</v>
      </c>
      <c r="E248" s="12" t="s">
        <v>212</v>
      </c>
      <c r="F248" s="12" t="s">
        <v>917</v>
      </c>
      <c r="G248" s="12">
        <v>3</v>
      </c>
      <c r="H248" s="12" t="s">
        <v>915</v>
      </c>
      <c r="I248" s="45">
        <v>41820</v>
      </c>
      <c r="J248" s="45">
        <v>41771</v>
      </c>
      <c r="K248" s="45">
        <v>41819</v>
      </c>
      <c r="L248" s="12" t="s">
        <v>91</v>
      </c>
      <c r="M248" s="12" t="s">
        <v>60</v>
      </c>
      <c r="N248" s="12"/>
      <c r="O248" s="12"/>
      <c r="P248" s="12" t="s">
        <v>918</v>
      </c>
      <c r="Q248" s="12"/>
    </row>
    <row r="249" spans="1:17" ht="39" customHeight="1" x14ac:dyDescent="0.25">
      <c r="A249" s="12" t="s">
        <v>919</v>
      </c>
      <c r="B249" s="12" t="s">
        <v>166</v>
      </c>
      <c r="C249" s="12" t="s">
        <v>167</v>
      </c>
      <c r="D249" s="12" t="s">
        <v>232</v>
      </c>
      <c r="E249" s="12" t="s">
        <v>212</v>
      </c>
      <c r="F249" s="12" t="s">
        <v>920</v>
      </c>
      <c r="G249" s="12">
        <v>2</v>
      </c>
      <c r="H249" s="12" t="s">
        <v>214</v>
      </c>
      <c r="I249" s="45">
        <v>44196</v>
      </c>
      <c r="J249" s="45">
        <v>44173</v>
      </c>
      <c r="K249" s="45">
        <v>44140</v>
      </c>
      <c r="L249" s="12" t="s">
        <v>91</v>
      </c>
      <c r="M249" s="12" t="s">
        <v>60</v>
      </c>
      <c r="N249" s="12"/>
      <c r="O249" s="12"/>
      <c r="P249" s="12" t="s">
        <v>921</v>
      </c>
      <c r="Q249" s="12"/>
    </row>
    <row r="250" spans="1:17" ht="39" customHeight="1" x14ac:dyDescent="0.25">
      <c r="A250" s="12" t="s">
        <v>922</v>
      </c>
      <c r="B250" s="12" t="s">
        <v>169</v>
      </c>
      <c r="C250" s="12" t="s">
        <v>923</v>
      </c>
      <c r="D250" s="12" t="s">
        <v>83</v>
      </c>
      <c r="E250" s="12" t="s">
        <v>212</v>
      </c>
      <c r="F250" s="12" t="s">
        <v>924</v>
      </c>
      <c r="G250" s="12">
        <v>12</v>
      </c>
      <c r="H250" s="12" t="s">
        <v>214</v>
      </c>
      <c r="I250" s="45">
        <v>43100</v>
      </c>
      <c r="J250" s="45">
        <v>43088</v>
      </c>
      <c r="K250" s="45">
        <v>43115</v>
      </c>
      <c r="L250" s="12" t="s">
        <v>91</v>
      </c>
      <c r="M250" s="12" t="s">
        <v>60</v>
      </c>
      <c r="N250" s="12"/>
      <c r="O250" s="12"/>
      <c r="P250" s="12" t="s">
        <v>925</v>
      </c>
      <c r="Q250" s="12"/>
    </row>
    <row r="251" spans="1:17" ht="26.1" customHeight="1" x14ac:dyDescent="0.25">
      <c r="A251" s="12" t="s">
        <v>926</v>
      </c>
      <c r="B251" s="12" t="s">
        <v>169</v>
      </c>
      <c r="C251" s="12" t="s">
        <v>923</v>
      </c>
      <c r="D251" s="12" t="s">
        <v>55</v>
      </c>
      <c r="E251" s="12" t="s">
        <v>212</v>
      </c>
      <c r="F251" s="12" t="s">
        <v>927</v>
      </c>
      <c r="G251" s="12">
        <v>11</v>
      </c>
      <c r="H251" s="12" t="s">
        <v>214</v>
      </c>
      <c r="I251" s="45">
        <v>43325</v>
      </c>
      <c r="J251" s="45">
        <v>43312</v>
      </c>
      <c r="K251" s="45">
        <v>43319</v>
      </c>
      <c r="L251" s="12" t="s">
        <v>91</v>
      </c>
      <c r="M251" s="12" t="s">
        <v>60</v>
      </c>
      <c r="N251" s="12"/>
      <c r="O251" s="12"/>
      <c r="P251" s="12" t="s">
        <v>928</v>
      </c>
      <c r="Q251" s="12"/>
    </row>
    <row r="252" spans="1:17" ht="26.1" customHeight="1" x14ac:dyDescent="0.25">
      <c r="A252" s="12" t="s">
        <v>929</v>
      </c>
      <c r="B252" s="12" t="s">
        <v>169</v>
      </c>
      <c r="C252" s="12" t="s">
        <v>923</v>
      </c>
      <c r="D252" s="12" t="s">
        <v>236</v>
      </c>
      <c r="E252" s="12" t="s">
        <v>212</v>
      </c>
      <c r="F252" s="12" t="s">
        <v>930</v>
      </c>
      <c r="G252" s="12">
        <v>9</v>
      </c>
      <c r="H252" s="12" t="s">
        <v>214</v>
      </c>
      <c r="I252" s="45">
        <v>43752</v>
      </c>
      <c r="J252" s="45">
        <v>43752</v>
      </c>
      <c r="K252" s="45">
        <v>43788</v>
      </c>
      <c r="L252" s="12" t="s">
        <v>91</v>
      </c>
      <c r="M252" s="12" t="s">
        <v>60</v>
      </c>
      <c r="N252" s="12"/>
      <c r="O252" s="12"/>
      <c r="P252" s="12" t="s">
        <v>931</v>
      </c>
      <c r="Q252" s="12"/>
    </row>
    <row r="253" spans="1:17" ht="39" customHeight="1" x14ac:dyDescent="0.25">
      <c r="A253" s="12" t="s">
        <v>932</v>
      </c>
      <c r="B253" s="12" t="s">
        <v>169</v>
      </c>
      <c r="C253" s="12" t="s">
        <v>923</v>
      </c>
      <c r="D253" s="12" t="s">
        <v>232</v>
      </c>
      <c r="E253" s="12" t="s">
        <v>212</v>
      </c>
      <c r="F253" s="12" t="s">
        <v>933</v>
      </c>
      <c r="G253" s="12">
        <v>10</v>
      </c>
      <c r="H253" s="12" t="s">
        <v>214</v>
      </c>
      <c r="I253" s="45">
        <v>44133</v>
      </c>
      <c r="J253" s="45">
        <v>44133</v>
      </c>
      <c r="K253" s="45">
        <v>44186</v>
      </c>
      <c r="L253" s="12" t="s">
        <v>91</v>
      </c>
      <c r="M253" s="12" t="s">
        <v>60</v>
      </c>
      <c r="N253" s="12"/>
      <c r="O253" s="12"/>
      <c r="P253" s="12" t="s">
        <v>934</v>
      </c>
      <c r="Q253" s="12"/>
    </row>
    <row r="254" spans="1:17" ht="26.1" customHeight="1" x14ac:dyDescent="0.25">
      <c r="A254" s="12" t="s">
        <v>935</v>
      </c>
      <c r="B254" s="12" t="s">
        <v>169</v>
      </c>
      <c r="C254" s="12" t="s">
        <v>923</v>
      </c>
      <c r="D254" s="12" t="s">
        <v>228</v>
      </c>
      <c r="E254" s="12" t="s">
        <v>212</v>
      </c>
      <c r="F254" s="12" t="s">
        <v>936</v>
      </c>
      <c r="G254" s="12">
        <v>10</v>
      </c>
      <c r="H254" s="12" t="s">
        <v>214</v>
      </c>
      <c r="I254" s="45">
        <v>44498</v>
      </c>
      <c r="J254" s="45">
        <v>44498</v>
      </c>
      <c r="K254" s="45">
        <v>44474</v>
      </c>
      <c r="L254" s="12" t="s">
        <v>91</v>
      </c>
      <c r="M254" s="12" t="s">
        <v>60</v>
      </c>
      <c r="N254" s="12"/>
      <c r="O254" s="12"/>
      <c r="P254" s="12" t="s">
        <v>937</v>
      </c>
      <c r="Q254" s="12"/>
    </row>
    <row r="255" spans="1:17" ht="39" customHeight="1" x14ac:dyDescent="0.25">
      <c r="A255" s="12" t="s">
        <v>938</v>
      </c>
      <c r="B255" s="12" t="s">
        <v>169</v>
      </c>
      <c r="C255" s="12" t="s">
        <v>923</v>
      </c>
      <c r="D255" s="12" t="s">
        <v>224</v>
      </c>
      <c r="E255" s="12" t="s">
        <v>212</v>
      </c>
      <c r="F255" s="12" t="s">
        <v>939</v>
      </c>
      <c r="G255" s="12">
        <v>10</v>
      </c>
      <c r="H255" s="12" t="s">
        <v>214</v>
      </c>
      <c r="I255" s="45">
        <v>44911</v>
      </c>
      <c r="J255" s="45">
        <v>44911</v>
      </c>
      <c r="K255" s="45">
        <v>44918</v>
      </c>
      <c r="L255" s="12" t="s">
        <v>91</v>
      </c>
      <c r="M255" s="12" t="s">
        <v>60</v>
      </c>
      <c r="N255" s="12"/>
      <c r="O255" s="12"/>
      <c r="P255" s="12" t="s">
        <v>940</v>
      </c>
      <c r="Q255" s="12"/>
    </row>
    <row r="256" spans="1:17" ht="26.1" customHeight="1" x14ac:dyDescent="0.25">
      <c r="A256" s="12" t="s">
        <v>941</v>
      </c>
      <c r="B256" s="12" t="s">
        <v>169</v>
      </c>
      <c r="C256" s="12" t="s">
        <v>923</v>
      </c>
      <c r="D256" s="12" t="s">
        <v>220</v>
      </c>
      <c r="E256" s="12" t="s">
        <v>212</v>
      </c>
      <c r="F256" s="12" t="s">
        <v>942</v>
      </c>
      <c r="G256" s="12">
        <v>10</v>
      </c>
      <c r="H256" s="12" t="s">
        <v>214</v>
      </c>
      <c r="I256" s="45">
        <v>45250</v>
      </c>
      <c r="J256" s="45">
        <v>45250</v>
      </c>
      <c r="K256" s="45">
        <v>45252</v>
      </c>
      <c r="L256" s="12" t="s">
        <v>91</v>
      </c>
      <c r="M256" s="12" t="s">
        <v>60</v>
      </c>
      <c r="N256" s="12"/>
      <c r="O256" s="12"/>
      <c r="P256" s="12" t="s">
        <v>943</v>
      </c>
      <c r="Q256" s="12"/>
    </row>
    <row r="257" spans="1:17" ht="26.1" customHeight="1" x14ac:dyDescent="0.25">
      <c r="A257" s="12" t="s">
        <v>944</v>
      </c>
      <c r="B257" s="12" t="s">
        <v>169</v>
      </c>
      <c r="C257" s="12" t="s">
        <v>923</v>
      </c>
      <c r="D257" s="12" t="s">
        <v>126</v>
      </c>
      <c r="E257" s="12" t="s">
        <v>212</v>
      </c>
      <c r="F257" s="12" t="s">
        <v>924</v>
      </c>
      <c r="G257" s="12">
        <v>12</v>
      </c>
      <c r="H257" s="12" t="s">
        <v>214</v>
      </c>
      <c r="I257" s="45">
        <v>42647</v>
      </c>
      <c r="J257" s="45">
        <v>42647</v>
      </c>
      <c r="K257" s="45">
        <v>42664</v>
      </c>
      <c r="L257" s="12" t="s">
        <v>91</v>
      </c>
      <c r="M257" s="12" t="s">
        <v>60</v>
      </c>
      <c r="N257" s="12"/>
      <c r="O257" s="12"/>
      <c r="P257" s="12" t="s">
        <v>945</v>
      </c>
      <c r="Q257" s="12"/>
    </row>
    <row r="258" spans="1:17" ht="26.1" customHeight="1" x14ac:dyDescent="0.25">
      <c r="A258" s="12" t="s">
        <v>946</v>
      </c>
      <c r="B258" s="12" t="s">
        <v>169</v>
      </c>
      <c r="C258" s="12" t="s">
        <v>923</v>
      </c>
      <c r="D258" s="12" t="s">
        <v>252</v>
      </c>
      <c r="E258" s="12" t="s">
        <v>212</v>
      </c>
      <c r="F258" s="12" t="s">
        <v>947</v>
      </c>
      <c r="G258" s="12">
        <v>10</v>
      </c>
      <c r="H258" s="12" t="s">
        <v>214</v>
      </c>
      <c r="I258" s="45">
        <v>45632</v>
      </c>
      <c r="J258" s="45">
        <v>45632</v>
      </c>
      <c r="K258" s="45">
        <v>45649</v>
      </c>
      <c r="L258" s="12" t="s">
        <v>59</v>
      </c>
      <c r="M258" s="12" t="s">
        <v>60</v>
      </c>
      <c r="N258" s="12"/>
      <c r="O258" s="12"/>
      <c r="P258" s="12"/>
      <c r="Q258" s="12"/>
    </row>
    <row r="259" spans="1:17" ht="26.1" customHeight="1" x14ac:dyDescent="0.25">
      <c r="A259" s="12" t="s">
        <v>948</v>
      </c>
      <c r="B259" s="12" t="s">
        <v>169</v>
      </c>
      <c r="C259" s="12" t="s">
        <v>923</v>
      </c>
      <c r="D259" s="12" t="s">
        <v>252</v>
      </c>
      <c r="E259" s="12" t="s">
        <v>212</v>
      </c>
      <c r="F259" s="12" t="s">
        <v>942</v>
      </c>
      <c r="G259" s="12">
        <v>10</v>
      </c>
      <c r="H259" s="12" t="s">
        <v>214</v>
      </c>
      <c r="I259" s="45">
        <v>45637</v>
      </c>
      <c r="J259" s="45">
        <v>45637</v>
      </c>
      <c r="K259" s="45">
        <v>45649</v>
      </c>
      <c r="L259" s="12" t="s">
        <v>59</v>
      </c>
      <c r="M259" s="12" t="s">
        <v>60</v>
      </c>
      <c r="N259" s="12"/>
      <c r="O259" s="12"/>
      <c r="P259" s="12"/>
      <c r="Q259" s="12"/>
    </row>
    <row r="260" spans="1:17" ht="65.099999999999994" customHeight="1" x14ac:dyDescent="0.25">
      <c r="A260" s="12" t="s">
        <v>949</v>
      </c>
      <c r="B260" s="12" t="s">
        <v>176</v>
      </c>
      <c r="C260" s="12" t="s">
        <v>177</v>
      </c>
      <c r="D260" s="12" t="s">
        <v>252</v>
      </c>
      <c r="E260" s="12" t="s">
        <v>212</v>
      </c>
      <c r="F260" s="12" t="s">
        <v>683</v>
      </c>
      <c r="G260" s="12">
        <v>8</v>
      </c>
      <c r="H260" s="12" t="s">
        <v>214</v>
      </c>
      <c r="I260" s="45">
        <v>45658</v>
      </c>
      <c r="J260" s="45">
        <v>45594</v>
      </c>
      <c r="K260" s="45">
        <v>45594</v>
      </c>
      <c r="L260" s="12" t="s">
        <v>59</v>
      </c>
      <c r="M260" s="12" t="s">
        <v>60</v>
      </c>
      <c r="N260" s="12"/>
      <c r="O260" s="12"/>
      <c r="P260" s="12"/>
      <c r="Q260" s="12"/>
    </row>
    <row r="261" spans="1:17" ht="30" x14ac:dyDescent="0.25">
      <c r="A261" s="12" t="s">
        <v>950</v>
      </c>
      <c r="B261" s="12" t="s">
        <v>176</v>
      </c>
      <c r="C261" s="12" t="s">
        <v>177</v>
      </c>
      <c r="D261" s="12" t="s">
        <v>220</v>
      </c>
      <c r="E261" s="12" t="s">
        <v>212</v>
      </c>
      <c r="F261" s="12" t="s">
        <v>951</v>
      </c>
      <c r="G261" s="12">
        <v>7</v>
      </c>
      <c r="H261" s="12" t="s">
        <v>214</v>
      </c>
      <c r="I261" s="45">
        <v>45292</v>
      </c>
      <c r="J261" s="45">
        <v>45260</v>
      </c>
      <c r="K261" s="45">
        <v>45230</v>
      </c>
      <c r="L261" s="12" t="s">
        <v>91</v>
      </c>
      <c r="M261" s="12" t="s">
        <v>60</v>
      </c>
      <c r="N261" s="12"/>
      <c r="O261" s="12"/>
      <c r="P261" s="12" t="s">
        <v>952</v>
      </c>
      <c r="Q261" s="12"/>
    </row>
    <row r="262" spans="1:17" ht="30" x14ac:dyDescent="0.25">
      <c r="A262" s="12" t="s">
        <v>953</v>
      </c>
      <c r="B262" s="12" t="s">
        <v>176</v>
      </c>
      <c r="C262" s="12" t="s">
        <v>177</v>
      </c>
      <c r="D262" s="12" t="s">
        <v>224</v>
      </c>
      <c r="E262" s="12" t="s">
        <v>212</v>
      </c>
      <c r="F262" s="12" t="s">
        <v>954</v>
      </c>
      <c r="G262" s="12">
        <v>7</v>
      </c>
      <c r="H262" s="12" t="s">
        <v>214</v>
      </c>
      <c r="I262" s="45">
        <v>44927</v>
      </c>
      <c r="J262" s="45">
        <v>44859</v>
      </c>
      <c r="K262" s="45">
        <v>44865</v>
      </c>
      <c r="L262" s="12" t="s">
        <v>91</v>
      </c>
      <c r="M262" s="12" t="s">
        <v>60</v>
      </c>
      <c r="N262" s="12"/>
      <c r="O262" s="12"/>
      <c r="P262" s="12"/>
      <c r="Q262" s="12"/>
    </row>
    <row r="263" spans="1:17" ht="30" x14ac:dyDescent="0.25">
      <c r="A263" s="12" t="s">
        <v>955</v>
      </c>
      <c r="B263" s="12" t="s">
        <v>176</v>
      </c>
      <c r="C263" s="12" t="s">
        <v>177</v>
      </c>
      <c r="D263" s="12" t="s">
        <v>228</v>
      </c>
      <c r="E263" s="12" t="s">
        <v>212</v>
      </c>
      <c r="F263" s="12" t="s">
        <v>956</v>
      </c>
      <c r="G263" s="12">
        <v>6</v>
      </c>
      <c r="H263" s="12" t="s">
        <v>214</v>
      </c>
      <c r="I263" s="45">
        <v>44562</v>
      </c>
      <c r="J263" s="45">
        <v>44495</v>
      </c>
      <c r="K263" s="45">
        <v>44498</v>
      </c>
      <c r="L263" s="12" t="s">
        <v>91</v>
      </c>
      <c r="M263" s="12" t="s">
        <v>60</v>
      </c>
      <c r="N263" s="12"/>
      <c r="O263" s="12"/>
      <c r="P263" s="12"/>
      <c r="Q263" s="12"/>
    </row>
    <row r="264" spans="1:17" ht="45" x14ac:dyDescent="0.25">
      <c r="A264" s="12" t="s">
        <v>957</v>
      </c>
      <c r="B264" s="12" t="s">
        <v>176</v>
      </c>
      <c r="C264" s="12" t="s">
        <v>177</v>
      </c>
      <c r="D264" s="12" t="s">
        <v>232</v>
      </c>
      <c r="E264" s="12" t="s">
        <v>212</v>
      </c>
      <c r="F264" s="12" t="s">
        <v>958</v>
      </c>
      <c r="G264" s="12">
        <v>6</v>
      </c>
      <c r="H264" s="12" t="s">
        <v>214</v>
      </c>
      <c r="I264" s="45">
        <v>44197</v>
      </c>
      <c r="J264" s="45">
        <v>44131</v>
      </c>
      <c r="K264" s="45">
        <v>44134</v>
      </c>
      <c r="L264" s="12" t="s">
        <v>91</v>
      </c>
      <c r="M264" s="12" t="s">
        <v>60</v>
      </c>
      <c r="N264" s="12"/>
      <c r="O264" s="12"/>
      <c r="P264" s="12" t="s">
        <v>959</v>
      </c>
      <c r="Q264" s="12"/>
    </row>
    <row r="265" spans="1:17" ht="150" x14ac:dyDescent="0.25">
      <c r="A265" s="12" t="s">
        <v>960</v>
      </c>
      <c r="B265" s="12" t="s">
        <v>176</v>
      </c>
      <c r="C265" s="12" t="s">
        <v>177</v>
      </c>
      <c r="D265" s="12" t="s">
        <v>232</v>
      </c>
      <c r="E265" s="12" t="s">
        <v>212</v>
      </c>
      <c r="F265" s="12" t="s">
        <v>961</v>
      </c>
      <c r="G265" s="12">
        <v>6</v>
      </c>
      <c r="H265" s="12" t="s">
        <v>214</v>
      </c>
      <c r="I265" s="45">
        <v>43959</v>
      </c>
      <c r="J265" s="45">
        <v>43928</v>
      </c>
      <c r="K265" s="45">
        <v>43929</v>
      </c>
      <c r="L265" s="12" t="s">
        <v>91</v>
      </c>
      <c r="M265" s="12" t="s">
        <v>60</v>
      </c>
      <c r="N265" s="12"/>
      <c r="O265" s="12"/>
      <c r="P265" s="12" t="s">
        <v>962</v>
      </c>
      <c r="Q265" s="12"/>
    </row>
    <row r="266" spans="1:17" ht="30" x14ac:dyDescent="0.25">
      <c r="A266" s="12" t="s">
        <v>963</v>
      </c>
      <c r="B266" s="12" t="s">
        <v>176</v>
      </c>
      <c r="C266" s="12" t="s">
        <v>177</v>
      </c>
      <c r="D266" s="12" t="s">
        <v>236</v>
      </c>
      <c r="E266" s="12" t="s">
        <v>212</v>
      </c>
      <c r="F266" s="12" t="s">
        <v>604</v>
      </c>
      <c r="G266" s="12">
        <v>6</v>
      </c>
      <c r="H266" s="12" t="s">
        <v>214</v>
      </c>
      <c r="I266" s="45">
        <v>43831</v>
      </c>
      <c r="J266" s="45">
        <v>43760</v>
      </c>
      <c r="K266" s="45">
        <v>43767</v>
      </c>
      <c r="L266" s="12" t="s">
        <v>91</v>
      </c>
      <c r="M266" s="12" t="s">
        <v>60</v>
      </c>
      <c r="N266" s="12"/>
      <c r="O266" s="12"/>
      <c r="P266" s="12" t="s">
        <v>964</v>
      </c>
      <c r="Q266" s="12"/>
    </row>
    <row r="267" spans="1:17" ht="30" x14ac:dyDescent="0.25">
      <c r="A267" s="12" t="s">
        <v>965</v>
      </c>
      <c r="B267" s="12" t="s">
        <v>176</v>
      </c>
      <c r="C267" s="12" t="s">
        <v>177</v>
      </c>
      <c r="D267" s="12" t="s">
        <v>55</v>
      </c>
      <c r="E267" s="12" t="s">
        <v>212</v>
      </c>
      <c r="F267" s="12" t="s">
        <v>604</v>
      </c>
      <c r="G267" s="12">
        <v>6</v>
      </c>
      <c r="H267" s="12" t="s">
        <v>214</v>
      </c>
      <c r="I267" s="45">
        <v>43466</v>
      </c>
      <c r="J267" s="45">
        <v>43389</v>
      </c>
      <c r="K267" s="45">
        <v>43403</v>
      </c>
      <c r="L267" s="12" t="s">
        <v>91</v>
      </c>
      <c r="M267" s="12" t="s">
        <v>60</v>
      </c>
      <c r="N267" s="12"/>
      <c r="O267" s="12"/>
      <c r="P267" s="12" t="s">
        <v>966</v>
      </c>
      <c r="Q267" s="12"/>
    </row>
    <row r="268" spans="1:17" ht="30" x14ac:dyDescent="0.25">
      <c r="A268" s="12" t="s">
        <v>967</v>
      </c>
      <c r="B268" s="12" t="s">
        <v>176</v>
      </c>
      <c r="C268" s="12" t="s">
        <v>177</v>
      </c>
      <c r="D268" s="12" t="s">
        <v>83</v>
      </c>
      <c r="E268" s="12" t="s">
        <v>212</v>
      </c>
      <c r="F268" s="12" t="s">
        <v>604</v>
      </c>
      <c r="G268" s="12">
        <v>6</v>
      </c>
      <c r="H268" s="12" t="s">
        <v>214</v>
      </c>
      <c r="I268" s="45">
        <v>43101</v>
      </c>
      <c r="J268" s="45">
        <v>43100</v>
      </c>
      <c r="K268" s="45">
        <v>43068</v>
      </c>
      <c r="L268" s="12" t="s">
        <v>91</v>
      </c>
      <c r="M268" s="12" t="s">
        <v>60</v>
      </c>
      <c r="N268" s="12"/>
      <c r="O268" s="12"/>
      <c r="P268" s="12" t="s">
        <v>968</v>
      </c>
      <c r="Q268" s="12"/>
    </row>
    <row r="269" spans="1:17" ht="30" x14ac:dyDescent="0.25">
      <c r="A269" s="12" t="s">
        <v>969</v>
      </c>
      <c r="B269" s="12" t="s">
        <v>176</v>
      </c>
      <c r="C269" s="12" t="s">
        <v>177</v>
      </c>
      <c r="D269" s="12" t="s">
        <v>126</v>
      </c>
      <c r="E269" s="12" t="s">
        <v>212</v>
      </c>
      <c r="F269" s="12" t="s">
        <v>390</v>
      </c>
      <c r="G269" s="12">
        <v>6</v>
      </c>
      <c r="H269" s="12" t="s">
        <v>214</v>
      </c>
      <c r="I269" s="45">
        <v>43101</v>
      </c>
      <c r="J269" s="45">
        <v>42668</v>
      </c>
      <c r="K269" s="45">
        <v>42676</v>
      </c>
      <c r="L269" s="12" t="s">
        <v>91</v>
      </c>
      <c r="M269" s="12" t="s">
        <v>60</v>
      </c>
      <c r="N269" s="12"/>
      <c r="O269" s="12"/>
      <c r="P269" s="12"/>
      <c r="Q269" s="12"/>
    </row>
    <row r="270" spans="1:17" ht="45" x14ac:dyDescent="0.25">
      <c r="A270" s="12" t="s">
        <v>970</v>
      </c>
      <c r="B270" s="12" t="s">
        <v>176</v>
      </c>
      <c r="C270" s="12" t="s">
        <v>177</v>
      </c>
      <c r="D270" s="12" t="s">
        <v>126</v>
      </c>
      <c r="E270" s="12" t="s">
        <v>212</v>
      </c>
      <c r="F270" s="12" t="s">
        <v>971</v>
      </c>
      <c r="G270" s="12">
        <v>6</v>
      </c>
      <c r="H270" s="12" t="s">
        <v>214</v>
      </c>
      <c r="I270" s="45">
        <v>43101</v>
      </c>
      <c r="J270" s="45">
        <v>42551</v>
      </c>
      <c r="K270" s="45">
        <v>42552</v>
      </c>
      <c r="L270" s="12" t="s">
        <v>91</v>
      </c>
      <c r="M270" s="12" t="s">
        <v>60</v>
      </c>
      <c r="N270" s="12"/>
      <c r="O270" s="12"/>
      <c r="P270" s="12" t="s">
        <v>972</v>
      </c>
      <c r="Q270" s="12"/>
    </row>
    <row r="271" spans="1:17" ht="30" x14ac:dyDescent="0.25">
      <c r="A271" s="12" t="s">
        <v>973</v>
      </c>
      <c r="B271" s="12" t="s">
        <v>176</v>
      </c>
      <c r="C271" s="12" t="s">
        <v>177</v>
      </c>
      <c r="D271" s="12" t="s">
        <v>77</v>
      </c>
      <c r="E271" s="12" t="s">
        <v>212</v>
      </c>
      <c r="F271" s="12" t="s">
        <v>604</v>
      </c>
      <c r="G271" s="12">
        <v>6</v>
      </c>
      <c r="H271" s="12" t="s">
        <v>550</v>
      </c>
      <c r="I271" s="45">
        <v>42736</v>
      </c>
      <c r="J271" s="45">
        <v>42331</v>
      </c>
      <c r="K271" s="45">
        <v>42367</v>
      </c>
      <c r="L271" s="12" t="s">
        <v>91</v>
      </c>
      <c r="M271" s="12" t="s">
        <v>60</v>
      </c>
      <c r="N271" s="12"/>
      <c r="O271" s="12"/>
      <c r="P271" s="12"/>
      <c r="Q271" s="12"/>
    </row>
    <row r="272" spans="1:17" ht="45" x14ac:dyDescent="0.25">
      <c r="A272" s="12" t="s">
        <v>974</v>
      </c>
      <c r="B272" s="12" t="s">
        <v>182</v>
      </c>
      <c r="C272" s="12" t="s">
        <v>975</v>
      </c>
      <c r="D272" s="12" t="s">
        <v>55</v>
      </c>
      <c r="E272" s="12" t="s">
        <v>212</v>
      </c>
      <c r="F272" s="12" t="s">
        <v>976</v>
      </c>
      <c r="G272" s="12">
        <v>9</v>
      </c>
      <c r="H272" s="12" t="s">
        <v>214</v>
      </c>
      <c r="I272" s="45">
        <v>43466</v>
      </c>
      <c r="J272" s="45">
        <v>43367</v>
      </c>
      <c r="K272" s="45">
        <v>43392</v>
      </c>
      <c r="L272" s="12" t="s">
        <v>91</v>
      </c>
      <c r="M272" s="12" t="s">
        <v>60</v>
      </c>
      <c r="N272" s="12"/>
      <c r="O272" s="12"/>
      <c r="P272" s="12"/>
      <c r="Q272" s="12"/>
    </row>
    <row r="273" spans="1:17" ht="60" x14ac:dyDescent="0.25">
      <c r="A273" s="12" t="s">
        <v>977</v>
      </c>
      <c r="B273" s="12" t="s">
        <v>182</v>
      </c>
      <c r="C273" s="12" t="s">
        <v>975</v>
      </c>
      <c r="D273" s="12" t="s">
        <v>224</v>
      </c>
      <c r="E273" s="12" t="s">
        <v>212</v>
      </c>
      <c r="F273" s="12" t="s">
        <v>978</v>
      </c>
      <c r="G273" s="12">
        <v>9</v>
      </c>
      <c r="H273" s="12" t="s">
        <v>214</v>
      </c>
      <c r="I273" s="45">
        <v>44927</v>
      </c>
      <c r="J273" s="45">
        <v>44854</v>
      </c>
      <c r="K273" s="45">
        <v>44854</v>
      </c>
      <c r="L273" s="12" t="s">
        <v>91</v>
      </c>
      <c r="M273" s="12" t="s">
        <v>60</v>
      </c>
      <c r="N273" s="12"/>
      <c r="O273" s="12"/>
      <c r="P273" s="12"/>
      <c r="Q273" s="12"/>
    </row>
    <row r="274" spans="1:17" ht="30" x14ac:dyDescent="0.25">
      <c r="A274" s="12" t="s">
        <v>979</v>
      </c>
      <c r="B274" s="12" t="s">
        <v>182</v>
      </c>
      <c r="C274" s="12" t="s">
        <v>183</v>
      </c>
      <c r="D274" s="12" t="s">
        <v>77</v>
      </c>
      <c r="E274" s="12" t="s">
        <v>212</v>
      </c>
      <c r="F274" s="12" t="s">
        <v>980</v>
      </c>
      <c r="G274" s="12">
        <v>9</v>
      </c>
      <c r="H274" s="12" t="s">
        <v>550</v>
      </c>
      <c r="I274" s="45">
        <v>42370</v>
      </c>
      <c r="J274" s="45"/>
      <c r="K274" s="45">
        <v>42335</v>
      </c>
      <c r="L274" s="12" t="s">
        <v>91</v>
      </c>
      <c r="M274" s="12" t="s">
        <v>60</v>
      </c>
      <c r="N274" s="12"/>
      <c r="O274" s="12"/>
      <c r="P274" s="12"/>
      <c r="Q274" s="12"/>
    </row>
    <row r="275" spans="1:17" ht="45" x14ac:dyDescent="0.25">
      <c r="A275" s="12" t="s">
        <v>981</v>
      </c>
      <c r="B275" s="12" t="s">
        <v>182</v>
      </c>
      <c r="C275" s="12" t="s">
        <v>975</v>
      </c>
      <c r="D275" s="12" t="s">
        <v>252</v>
      </c>
      <c r="E275" s="12" t="s">
        <v>212</v>
      </c>
      <c r="F275" s="12" t="s">
        <v>980</v>
      </c>
      <c r="G275" s="12">
        <v>7</v>
      </c>
      <c r="H275" s="12" t="s">
        <v>214</v>
      </c>
      <c r="I275" s="45">
        <v>45748</v>
      </c>
      <c r="J275" s="45">
        <v>45642</v>
      </c>
      <c r="K275" s="45">
        <v>45643</v>
      </c>
      <c r="L275" s="12" t="s">
        <v>91</v>
      </c>
      <c r="M275" s="12" t="s">
        <v>60</v>
      </c>
      <c r="N275" s="12"/>
      <c r="O275" s="12"/>
      <c r="P275" s="12"/>
      <c r="Q275" s="12"/>
    </row>
    <row r="276" spans="1:17" ht="60" x14ac:dyDescent="0.25">
      <c r="A276" s="12" t="s">
        <v>982</v>
      </c>
      <c r="B276" s="12" t="s">
        <v>182</v>
      </c>
      <c r="C276" s="12" t="s">
        <v>975</v>
      </c>
      <c r="D276" s="12" t="s">
        <v>220</v>
      </c>
      <c r="E276" s="12" t="s">
        <v>212</v>
      </c>
      <c r="F276" s="12" t="s">
        <v>983</v>
      </c>
      <c r="G276" s="12">
        <v>9</v>
      </c>
      <c r="H276" s="12" t="s">
        <v>214</v>
      </c>
      <c r="I276" s="45">
        <v>45292</v>
      </c>
      <c r="J276" s="45">
        <v>45218</v>
      </c>
      <c r="K276" s="45">
        <v>45219</v>
      </c>
      <c r="L276" s="12" t="s">
        <v>59</v>
      </c>
      <c r="M276" s="12" t="s">
        <v>60</v>
      </c>
      <c r="N276" s="12"/>
      <c r="O276" s="12"/>
      <c r="P276" s="12"/>
      <c r="Q276" s="12"/>
    </row>
    <row r="277" spans="1:17" ht="45" x14ac:dyDescent="0.25">
      <c r="A277" s="12" t="s">
        <v>984</v>
      </c>
      <c r="B277" s="12" t="s">
        <v>182</v>
      </c>
      <c r="C277" s="12" t="s">
        <v>183</v>
      </c>
      <c r="D277" s="12" t="s">
        <v>126</v>
      </c>
      <c r="E277" s="12" t="s">
        <v>212</v>
      </c>
      <c r="F277" s="12" t="s">
        <v>985</v>
      </c>
      <c r="G277" s="12">
        <v>11</v>
      </c>
      <c r="H277" s="12" t="s">
        <v>214</v>
      </c>
      <c r="I277" s="45">
        <v>42795</v>
      </c>
      <c r="J277" s="45">
        <v>42717</v>
      </c>
      <c r="K277" s="45">
        <v>42723</v>
      </c>
      <c r="L277" s="12" t="s">
        <v>91</v>
      </c>
      <c r="M277" s="12" t="s">
        <v>60</v>
      </c>
      <c r="N277" s="12"/>
      <c r="O277" s="12"/>
      <c r="P277" s="12"/>
      <c r="Q277" s="12"/>
    </row>
    <row r="278" spans="1:17" ht="45" x14ac:dyDescent="0.25">
      <c r="A278" s="12" t="s">
        <v>986</v>
      </c>
      <c r="B278" s="12" t="s">
        <v>182</v>
      </c>
      <c r="C278" s="12" t="s">
        <v>975</v>
      </c>
      <c r="D278" s="12" t="s">
        <v>83</v>
      </c>
      <c r="E278" s="12" t="s">
        <v>212</v>
      </c>
      <c r="F278" s="12" t="s">
        <v>976</v>
      </c>
      <c r="G278" s="12">
        <v>9</v>
      </c>
      <c r="H278" s="12" t="s">
        <v>214</v>
      </c>
      <c r="I278" s="45">
        <v>43101</v>
      </c>
      <c r="J278" s="45">
        <v>43017</v>
      </c>
      <c r="K278" s="45">
        <v>43026</v>
      </c>
      <c r="L278" s="12" t="s">
        <v>91</v>
      </c>
      <c r="M278" s="12" t="s">
        <v>60</v>
      </c>
      <c r="N278" s="12"/>
      <c r="O278" s="12"/>
      <c r="P278" s="12"/>
      <c r="Q278" s="12"/>
    </row>
    <row r="279" spans="1:17" ht="60" x14ac:dyDescent="0.25">
      <c r="A279" s="12" t="s">
        <v>987</v>
      </c>
      <c r="B279" s="12" t="s">
        <v>182</v>
      </c>
      <c r="C279" s="12" t="s">
        <v>975</v>
      </c>
      <c r="D279" s="12" t="s">
        <v>228</v>
      </c>
      <c r="E279" s="12" t="s">
        <v>212</v>
      </c>
      <c r="F279" s="12" t="s">
        <v>988</v>
      </c>
      <c r="G279" s="12">
        <v>9</v>
      </c>
      <c r="H279" s="12" t="s">
        <v>214</v>
      </c>
      <c r="I279" s="45">
        <v>44562</v>
      </c>
      <c r="J279" s="45">
        <v>44483</v>
      </c>
      <c r="K279" s="45">
        <v>44490</v>
      </c>
      <c r="L279" s="12" t="s">
        <v>91</v>
      </c>
      <c r="M279" s="12" t="s">
        <v>60</v>
      </c>
      <c r="N279" s="12"/>
      <c r="O279" s="12"/>
      <c r="P279" s="12" t="s">
        <v>989</v>
      </c>
      <c r="Q279" s="12"/>
    </row>
    <row r="280" spans="1:17" ht="45" x14ac:dyDescent="0.25">
      <c r="A280" s="12" t="s">
        <v>990</v>
      </c>
      <c r="B280" s="12" t="s">
        <v>182</v>
      </c>
      <c r="C280" s="12" t="s">
        <v>975</v>
      </c>
      <c r="D280" s="12" t="s">
        <v>232</v>
      </c>
      <c r="E280" s="12" t="s">
        <v>212</v>
      </c>
      <c r="F280" s="12" t="s">
        <v>991</v>
      </c>
      <c r="G280" s="12">
        <v>8</v>
      </c>
      <c r="H280" s="12" t="s">
        <v>214</v>
      </c>
      <c r="I280" s="45">
        <v>44197</v>
      </c>
      <c r="J280" s="45">
        <v>44126</v>
      </c>
      <c r="K280" s="45">
        <v>44126</v>
      </c>
      <c r="L280" s="12" t="s">
        <v>91</v>
      </c>
      <c r="M280" s="12" t="s">
        <v>60</v>
      </c>
      <c r="N280" s="12"/>
      <c r="O280" s="12"/>
      <c r="P280" s="12"/>
      <c r="Q280" s="12"/>
    </row>
    <row r="281" spans="1:17" ht="45" x14ac:dyDescent="0.25">
      <c r="A281" s="12" t="s">
        <v>992</v>
      </c>
      <c r="B281" s="12" t="s">
        <v>182</v>
      </c>
      <c r="C281" s="12" t="s">
        <v>975</v>
      </c>
      <c r="D281" s="12" t="s">
        <v>236</v>
      </c>
      <c r="E281" s="12" t="s">
        <v>212</v>
      </c>
      <c r="F281" s="12" t="s">
        <v>976</v>
      </c>
      <c r="G281" s="12">
        <v>9</v>
      </c>
      <c r="H281" s="12" t="s">
        <v>214</v>
      </c>
      <c r="I281" s="45">
        <v>43831</v>
      </c>
      <c r="J281" s="45">
        <v>43719</v>
      </c>
      <c r="K281" s="45">
        <v>43734</v>
      </c>
      <c r="L281" s="12" t="s">
        <v>91</v>
      </c>
      <c r="M281" s="12" t="s">
        <v>60</v>
      </c>
      <c r="N281" s="12"/>
      <c r="O281" s="12"/>
      <c r="P281" s="12"/>
      <c r="Q281" s="12"/>
    </row>
    <row r="282" spans="1:17" ht="30" x14ac:dyDescent="0.25">
      <c r="A282" s="12" t="s">
        <v>993</v>
      </c>
      <c r="B282" s="12" t="s">
        <v>186</v>
      </c>
      <c r="C282" s="12" t="s">
        <v>187</v>
      </c>
      <c r="D282" s="12" t="s">
        <v>126</v>
      </c>
      <c r="E282" s="12" t="s">
        <v>212</v>
      </c>
      <c r="F282" s="12" t="s">
        <v>994</v>
      </c>
      <c r="G282" s="12">
        <v>5</v>
      </c>
      <c r="H282" s="12" t="s">
        <v>995</v>
      </c>
      <c r="I282" s="45">
        <v>42736</v>
      </c>
      <c r="J282" s="45">
        <v>42514</v>
      </c>
      <c r="K282" s="45">
        <v>42489</v>
      </c>
      <c r="L282" s="12" t="s">
        <v>91</v>
      </c>
      <c r="M282" s="12" t="s">
        <v>60</v>
      </c>
      <c r="N282" s="12"/>
      <c r="O282" s="12"/>
      <c r="P282" s="12" t="s">
        <v>996</v>
      </c>
      <c r="Q282" s="12"/>
    </row>
    <row r="283" spans="1:17" ht="30" x14ac:dyDescent="0.25">
      <c r="A283" s="12" t="s">
        <v>997</v>
      </c>
      <c r="B283" s="12" t="s">
        <v>186</v>
      </c>
      <c r="C283" s="12" t="s">
        <v>187</v>
      </c>
      <c r="D283" s="12" t="s">
        <v>77</v>
      </c>
      <c r="E283" s="12" t="s">
        <v>212</v>
      </c>
      <c r="F283" s="12" t="s">
        <v>998</v>
      </c>
      <c r="G283" s="12">
        <v>5</v>
      </c>
      <c r="H283" s="12" t="s">
        <v>995</v>
      </c>
      <c r="I283" s="45">
        <v>42370</v>
      </c>
      <c r="J283" s="45"/>
      <c r="K283" s="45">
        <v>42124</v>
      </c>
      <c r="L283" s="12" t="s">
        <v>91</v>
      </c>
      <c r="M283" s="12" t="s">
        <v>60</v>
      </c>
      <c r="N283" s="12"/>
      <c r="O283" s="12"/>
      <c r="P283" s="12"/>
      <c r="Q283" s="12"/>
    </row>
    <row r="284" spans="1:17" ht="60" x14ac:dyDescent="0.25">
      <c r="A284" s="12" t="s">
        <v>999</v>
      </c>
      <c r="B284" s="12" t="s">
        <v>186</v>
      </c>
      <c r="C284" s="12" t="s">
        <v>187</v>
      </c>
      <c r="D284" s="12" t="s">
        <v>252</v>
      </c>
      <c r="E284" s="12" t="s">
        <v>212</v>
      </c>
      <c r="F284" s="12" t="s">
        <v>1000</v>
      </c>
      <c r="G284" s="12">
        <v>5</v>
      </c>
      <c r="H284" s="12" t="s">
        <v>214</v>
      </c>
      <c r="I284" s="45">
        <v>45658</v>
      </c>
      <c r="J284" s="45">
        <v>45405</v>
      </c>
      <c r="K284" s="45">
        <v>45373</v>
      </c>
      <c r="L284" s="12" t="s">
        <v>59</v>
      </c>
      <c r="M284" s="12" t="s">
        <v>60</v>
      </c>
      <c r="N284" s="12"/>
      <c r="O284" s="12"/>
      <c r="P284" s="12"/>
      <c r="Q284" s="12"/>
    </row>
    <row r="285" spans="1:17" ht="30" x14ac:dyDescent="0.25">
      <c r="A285" s="12" t="s">
        <v>1001</v>
      </c>
      <c r="B285" s="12" t="s">
        <v>186</v>
      </c>
      <c r="C285" s="12" t="s">
        <v>187</v>
      </c>
      <c r="D285" s="12" t="s">
        <v>55</v>
      </c>
      <c r="E285" s="12" t="s">
        <v>212</v>
      </c>
      <c r="F285" s="12" t="s">
        <v>1002</v>
      </c>
      <c r="G285" s="12">
        <v>5</v>
      </c>
      <c r="H285" s="12" t="s">
        <v>214</v>
      </c>
      <c r="I285" s="45">
        <v>43466</v>
      </c>
      <c r="J285" s="45">
        <v>43249</v>
      </c>
      <c r="K285" s="45">
        <v>43216</v>
      </c>
      <c r="L285" s="12" t="s">
        <v>91</v>
      </c>
      <c r="M285" s="12" t="s">
        <v>60</v>
      </c>
      <c r="N285" s="12"/>
      <c r="O285" s="12"/>
      <c r="P285" s="12"/>
      <c r="Q285" s="12"/>
    </row>
    <row r="286" spans="1:17" ht="30" x14ac:dyDescent="0.25">
      <c r="A286" s="12" t="s">
        <v>1003</v>
      </c>
      <c r="B286" s="12" t="s">
        <v>186</v>
      </c>
      <c r="C286" s="12" t="s">
        <v>187</v>
      </c>
      <c r="D286" s="12" t="s">
        <v>83</v>
      </c>
      <c r="E286" s="12" t="s">
        <v>212</v>
      </c>
      <c r="F286" s="12" t="s">
        <v>1002</v>
      </c>
      <c r="G286" s="12">
        <v>5</v>
      </c>
      <c r="H286" s="12" t="s">
        <v>214</v>
      </c>
      <c r="I286" s="45">
        <v>43101</v>
      </c>
      <c r="J286" s="45">
        <v>42885</v>
      </c>
      <c r="K286" s="45">
        <v>42853</v>
      </c>
      <c r="L286" s="12" t="s">
        <v>91</v>
      </c>
      <c r="M286" s="12" t="s">
        <v>60</v>
      </c>
      <c r="N286" s="12"/>
      <c r="O286" s="12"/>
      <c r="P286" s="12"/>
      <c r="Q286" s="12"/>
    </row>
    <row r="287" spans="1:17" ht="45" x14ac:dyDescent="0.25">
      <c r="A287" s="12" t="s">
        <v>1004</v>
      </c>
      <c r="B287" s="12" t="s">
        <v>186</v>
      </c>
      <c r="C287" s="12" t="s">
        <v>187</v>
      </c>
      <c r="D287" s="12" t="s">
        <v>236</v>
      </c>
      <c r="E287" s="12" t="s">
        <v>212</v>
      </c>
      <c r="F287" s="12" t="s">
        <v>1005</v>
      </c>
      <c r="G287" s="12">
        <v>5</v>
      </c>
      <c r="H287" s="12" t="s">
        <v>214</v>
      </c>
      <c r="I287" s="45">
        <v>43831</v>
      </c>
      <c r="J287" s="45">
        <v>43613</v>
      </c>
      <c r="K287" s="45">
        <v>43592</v>
      </c>
      <c r="L287" s="12" t="s">
        <v>91</v>
      </c>
      <c r="M287" s="12" t="s">
        <v>60</v>
      </c>
      <c r="N287" s="12"/>
      <c r="O287" s="12"/>
      <c r="P287" s="12" t="s">
        <v>1006</v>
      </c>
      <c r="Q287" s="12"/>
    </row>
    <row r="288" spans="1:17" ht="90" x14ac:dyDescent="0.25">
      <c r="A288" s="12" t="s">
        <v>1007</v>
      </c>
      <c r="B288" s="12" t="s">
        <v>186</v>
      </c>
      <c r="C288" s="12" t="s">
        <v>187</v>
      </c>
      <c r="D288" s="12" t="s">
        <v>232</v>
      </c>
      <c r="E288" s="12" t="s">
        <v>212</v>
      </c>
      <c r="F288" s="12" t="s">
        <v>1008</v>
      </c>
      <c r="G288" s="12">
        <v>5</v>
      </c>
      <c r="H288" s="12" t="s">
        <v>214</v>
      </c>
      <c r="I288" s="45">
        <v>44197</v>
      </c>
      <c r="J288" s="45">
        <v>43977</v>
      </c>
      <c r="K288" s="45">
        <v>43978</v>
      </c>
      <c r="L288" s="12" t="s">
        <v>91</v>
      </c>
      <c r="M288" s="12" t="s">
        <v>60</v>
      </c>
      <c r="N288" s="12"/>
      <c r="O288" s="12"/>
      <c r="P288" s="12"/>
      <c r="Q288" s="12"/>
    </row>
    <row r="289" spans="1:17" ht="30" x14ac:dyDescent="0.25">
      <c r="A289" s="12" t="s">
        <v>1009</v>
      </c>
      <c r="B289" s="12" t="s">
        <v>186</v>
      </c>
      <c r="C289" s="12" t="s">
        <v>187</v>
      </c>
      <c r="D289" s="12" t="s">
        <v>228</v>
      </c>
      <c r="E289" s="12" t="s">
        <v>212</v>
      </c>
      <c r="F289" s="12" t="s">
        <v>1010</v>
      </c>
      <c r="G289" s="12">
        <v>5</v>
      </c>
      <c r="H289" s="12" t="s">
        <v>214</v>
      </c>
      <c r="I289" s="45">
        <v>44562</v>
      </c>
      <c r="J289" s="45">
        <v>44341</v>
      </c>
      <c r="K289" s="45">
        <v>44341</v>
      </c>
      <c r="L289" s="12" t="s">
        <v>91</v>
      </c>
      <c r="M289" s="12" t="s">
        <v>60</v>
      </c>
      <c r="N289" s="12"/>
      <c r="O289" s="12"/>
      <c r="P289" s="12"/>
      <c r="Q289" s="12"/>
    </row>
    <row r="290" spans="1:17" ht="45" x14ac:dyDescent="0.25">
      <c r="A290" s="12" t="s">
        <v>1011</v>
      </c>
      <c r="B290" s="12" t="s">
        <v>186</v>
      </c>
      <c r="C290" s="12" t="s">
        <v>187</v>
      </c>
      <c r="D290" s="12" t="s">
        <v>224</v>
      </c>
      <c r="E290" s="12" t="s">
        <v>212</v>
      </c>
      <c r="F290" s="12" t="s">
        <v>1012</v>
      </c>
      <c r="G290" s="12">
        <v>6</v>
      </c>
      <c r="H290" s="12" t="s">
        <v>214</v>
      </c>
      <c r="I290" s="45">
        <v>44720</v>
      </c>
      <c r="J290" s="45">
        <v>44705</v>
      </c>
      <c r="K290" s="45">
        <v>44705</v>
      </c>
      <c r="L290" s="12" t="s">
        <v>91</v>
      </c>
      <c r="M290" s="12" t="s">
        <v>60</v>
      </c>
      <c r="N290" s="12"/>
      <c r="O290" s="12"/>
      <c r="P290" s="12"/>
      <c r="Q290" s="12"/>
    </row>
    <row r="291" spans="1:17" ht="45" x14ac:dyDescent="0.25">
      <c r="A291" s="12" t="s">
        <v>1013</v>
      </c>
      <c r="B291" s="12" t="s">
        <v>186</v>
      </c>
      <c r="C291" s="12" t="s">
        <v>187</v>
      </c>
      <c r="D291" s="12" t="s">
        <v>220</v>
      </c>
      <c r="E291" s="12" t="s">
        <v>212</v>
      </c>
      <c r="F291" s="12" t="s">
        <v>1014</v>
      </c>
      <c r="G291" s="12">
        <v>6</v>
      </c>
      <c r="H291" s="12" t="s">
        <v>214</v>
      </c>
      <c r="I291" s="45">
        <v>45292</v>
      </c>
      <c r="J291" s="45">
        <v>45068</v>
      </c>
      <c r="K291" s="45">
        <v>45051</v>
      </c>
      <c r="L291" s="12" t="s">
        <v>91</v>
      </c>
      <c r="M291" s="12" t="s">
        <v>60</v>
      </c>
      <c r="N291" s="12"/>
      <c r="O291" s="12"/>
      <c r="P291" s="12"/>
      <c r="Q291" s="12"/>
    </row>
    <row r="292" spans="1:17" ht="45" x14ac:dyDescent="0.25">
      <c r="A292" s="12" t="s">
        <v>1015</v>
      </c>
      <c r="B292" s="12" t="s">
        <v>191</v>
      </c>
      <c r="C292" s="12" t="s">
        <v>192</v>
      </c>
      <c r="D292" s="12" t="s">
        <v>252</v>
      </c>
      <c r="E292" s="12" t="s">
        <v>212</v>
      </c>
      <c r="F292" s="12" t="s">
        <v>1016</v>
      </c>
      <c r="G292" s="12">
        <v>5</v>
      </c>
      <c r="H292" s="12" t="s">
        <v>214</v>
      </c>
      <c r="I292" s="45">
        <v>45658</v>
      </c>
      <c r="J292" s="45">
        <v>45600</v>
      </c>
      <c r="K292" s="45">
        <v>45583</v>
      </c>
      <c r="L292" s="12" t="s">
        <v>59</v>
      </c>
      <c r="M292" s="12" t="s">
        <v>60</v>
      </c>
      <c r="N292" s="12"/>
      <c r="O292" s="12"/>
      <c r="P292" s="12" t="s">
        <v>1017</v>
      </c>
      <c r="Q292" s="12"/>
    </row>
    <row r="293" spans="1:17" ht="45" x14ac:dyDescent="0.25">
      <c r="A293" s="12" t="s">
        <v>1018</v>
      </c>
      <c r="B293" s="12" t="s">
        <v>191</v>
      </c>
      <c r="C293" s="12" t="s">
        <v>192</v>
      </c>
      <c r="D293" s="12" t="s">
        <v>126</v>
      </c>
      <c r="E293" s="12" t="s">
        <v>212</v>
      </c>
      <c r="F293" s="12" t="s">
        <v>1019</v>
      </c>
      <c r="G293" s="12">
        <v>8</v>
      </c>
      <c r="H293" s="12" t="s">
        <v>214</v>
      </c>
      <c r="I293" s="45">
        <v>42736</v>
      </c>
      <c r="J293" s="45">
        <v>42696</v>
      </c>
      <c r="K293" s="45">
        <v>42682</v>
      </c>
      <c r="L293" s="12" t="s">
        <v>91</v>
      </c>
      <c r="M293" s="12" t="s">
        <v>60</v>
      </c>
      <c r="N293" s="12"/>
      <c r="O293" s="12"/>
      <c r="P293" s="12" t="s">
        <v>1020</v>
      </c>
      <c r="Q293" s="12"/>
    </row>
    <row r="294" spans="1:17" ht="30" x14ac:dyDescent="0.25">
      <c r="A294" s="12" t="s">
        <v>1021</v>
      </c>
      <c r="B294" s="12" t="s">
        <v>191</v>
      </c>
      <c r="C294" s="12" t="s">
        <v>192</v>
      </c>
      <c r="D294" s="12" t="s">
        <v>83</v>
      </c>
      <c r="E294" s="12" t="s">
        <v>212</v>
      </c>
      <c r="F294" s="12" t="s">
        <v>667</v>
      </c>
      <c r="G294" s="12">
        <v>7</v>
      </c>
      <c r="H294" s="12" t="s">
        <v>214</v>
      </c>
      <c r="I294" s="45">
        <v>43101</v>
      </c>
      <c r="J294" s="45">
        <v>43066</v>
      </c>
      <c r="K294" s="45">
        <v>43018</v>
      </c>
      <c r="L294" s="12" t="s">
        <v>91</v>
      </c>
      <c r="M294" s="12" t="s">
        <v>60</v>
      </c>
      <c r="N294" s="12"/>
      <c r="O294" s="12"/>
      <c r="P294" s="12"/>
      <c r="Q294" s="12"/>
    </row>
    <row r="295" spans="1:17" ht="45" x14ac:dyDescent="0.25">
      <c r="A295" s="12" t="s">
        <v>1022</v>
      </c>
      <c r="B295" s="12" t="s">
        <v>191</v>
      </c>
      <c r="C295" s="12" t="s">
        <v>192</v>
      </c>
      <c r="D295" s="12" t="s">
        <v>55</v>
      </c>
      <c r="E295" s="12" t="s">
        <v>212</v>
      </c>
      <c r="F295" s="12" t="s">
        <v>604</v>
      </c>
      <c r="G295" s="12">
        <v>6</v>
      </c>
      <c r="H295" s="12" t="s">
        <v>214</v>
      </c>
      <c r="I295" s="45">
        <v>43466</v>
      </c>
      <c r="J295" s="45">
        <v>43431</v>
      </c>
      <c r="K295" s="45">
        <v>43432</v>
      </c>
      <c r="L295" s="12" t="s">
        <v>91</v>
      </c>
      <c r="M295" s="12" t="s">
        <v>60</v>
      </c>
      <c r="N295" s="12"/>
      <c r="O295" s="12"/>
      <c r="P295" s="12" t="s">
        <v>1017</v>
      </c>
      <c r="Q295" s="12"/>
    </row>
    <row r="296" spans="1:17" ht="30" x14ac:dyDescent="0.25">
      <c r="A296" s="12" t="s">
        <v>1023</v>
      </c>
      <c r="B296" s="12" t="s">
        <v>191</v>
      </c>
      <c r="C296" s="12" t="s">
        <v>192</v>
      </c>
      <c r="D296" s="12" t="s">
        <v>236</v>
      </c>
      <c r="E296" s="12" t="s">
        <v>212</v>
      </c>
      <c r="F296" s="12" t="s">
        <v>392</v>
      </c>
      <c r="G296" s="12">
        <v>7</v>
      </c>
      <c r="H296" s="12" t="s">
        <v>214</v>
      </c>
      <c r="I296" s="45">
        <v>43831</v>
      </c>
      <c r="J296" s="45">
        <v>43802</v>
      </c>
      <c r="K296" s="45">
        <v>43823</v>
      </c>
      <c r="L296" s="12" t="s">
        <v>91</v>
      </c>
      <c r="M296" s="12" t="s">
        <v>60</v>
      </c>
      <c r="N296" s="12"/>
      <c r="O296" s="12"/>
      <c r="P296" s="12"/>
      <c r="Q296" s="12"/>
    </row>
    <row r="297" spans="1:17" ht="30" x14ac:dyDescent="0.25">
      <c r="A297" s="12" t="s">
        <v>1024</v>
      </c>
      <c r="B297" s="12" t="s">
        <v>191</v>
      </c>
      <c r="C297" s="12" t="s">
        <v>192</v>
      </c>
      <c r="D297" s="12" t="s">
        <v>77</v>
      </c>
      <c r="E297" s="12" t="s">
        <v>212</v>
      </c>
      <c r="F297" s="12" t="s">
        <v>683</v>
      </c>
      <c r="G297" s="12">
        <v>8</v>
      </c>
      <c r="H297" s="12" t="s">
        <v>550</v>
      </c>
      <c r="I297" s="45">
        <v>43466</v>
      </c>
      <c r="J297" s="45">
        <v>42346</v>
      </c>
      <c r="K297" s="45">
        <v>42382</v>
      </c>
      <c r="L297" s="12" t="s">
        <v>91</v>
      </c>
      <c r="M297" s="12" t="s">
        <v>60</v>
      </c>
      <c r="N297" s="12"/>
      <c r="O297" s="12"/>
      <c r="P297" s="12"/>
      <c r="Q297" s="12"/>
    </row>
    <row r="298" spans="1:17" ht="45" x14ac:dyDescent="0.25">
      <c r="A298" s="12" t="s">
        <v>1025</v>
      </c>
      <c r="B298" s="12" t="s">
        <v>191</v>
      </c>
      <c r="C298" s="12" t="s">
        <v>192</v>
      </c>
      <c r="D298" s="12" t="s">
        <v>232</v>
      </c>
      <c r="E298" s="12" t="s">
        <v>212</v>
      </c>
      <c r="F298" s="12" t="s">
        <v>1026</v>
      </c>
      <c r="G298" s="12">
        <v>6</v>
      </c>
      <c r="H298" s="12" t="s">
        <v>214</v>
      </c>
      <c r="I298" s="45">
        <v>44197</v>
      </c>
      <c r="J298" s="45">
        <v>44124</v>
      </c>
      <c r="K298" s="45">
        <v>44267</v>
      </c>
      <c r="L298" s="12" t="s">
        <v>91</v>
      </c>
      <c r="M298" s="12" t="s">
        <v>60</v>
      </c>
      <c r="N298" s="12"/>
      <c r="O298" s="12"/>
      <c r="P298" s="12"/>
      <c r="Q298" s="12"/>
    </row>
    <row r="299" spans="1:17" ht="30" x14ac:dyDescent="0.25">
      <c r="A299" s="12" t="s">
        <v>1027</v>
      </c>
      <c r="B299" s="12" t="s">
        <v>191</v>
      </c>
      <c r="C299" s="12" t="s">
        <v>192</v>
      </c>
      <c r="D299" s="12" t="s">
        <v>224</v>
      </c>
      <c r="E299" s="12" t="s">
        <v>212</v>
      </c>
      <c r="F299" s="12" t="s">
        <v>1028</v>
      </c>
      <c r="G299" s="12">
        <v>6</v>
      </c>
      <c r="H299" s="12" t="s">
        <v>214</v>
      </c>
      <c r="I299" s="45">
        <v>44562</v>
      </c>
      <c r="J299" s="45">
        <v>44488</v>
      </c>
      <c r="K299" s="45">
        <v>44634</v>
      </c>
      <c r="L299" s="12" t="s">
        <v>91</v>
      </c>
      <c r="M299" s="12" t="s">
        <v>60</v>
      </c>
      <c r="N299" s="12"/>
      <c r="O299" s="12"/>
      <c r="P299" s="12"/>
      <c r="Q299" s="12"/>
    </row>
    <row r="300" spans="1:17" ht="30" x14ac:dyDescent="0.25">
      <c r="A300" s="12" t="s">
        <v>1029</v>
      </c>
      <c r="B300" s="12" t="s">
        <v>191</v>
      </c>
      <c r="C300" s="12" t="s">
        <v>192</v>
      </c>
      <c r="D300" s="12" t="s">
        <v>220</v>
      </c>
      <c r="E300" s="12" t="s">
        <v>212</v>
      </c>
      <c r="F300" s="12" t="s">
        <v>1030</v>
      </c>
      <c r="G300" s="12">
        <v>6</v>
      </c>
      <c r="H300" s="12" t="s">
        <v>214</v>
      </c>
      <c r="I300" s="45">
        <v>44927</v>
      </c>
      <c r="J300" s="45">
        <v>44826</v>
      </c>
      <c r="K300" s="45">
        <v>44819</v>
      </c>
      <c r="L300" s="12" t="s">
        <v>91</v>
      </c>
      <c r="M300" s="12" t="s">
        <v>60</v>
      </c>
      <c r="N300" s="12"/>
      <c r="O300" s="12"/>
      <c r="P300" s="12" t="s">
        <v>1031</v>
      </c>
      <c r="Q300" s="12"/>
    </row>
    <row r="301" spans="1:17" ht="45" x14ac:dyDescent="0.25">
      <c r="A301" s="12" t="s">
        <v>1032</v>
      </c>
      <c r="B301" s="12" t="s">
        <v>191</v>
      </c>
      <c r="C301" s="12" t="s">
        <v>192</v>
      </c>
      <c r="D301" s="12" t="s">
        <v>220</v>
      </c>
      <c r="E301" s="12" t="s">
        <v>212</v>
      </c>
      <c r="F301" s="12" t="s">
        <v>1033</v>
      </c>
      <c r="G301" s="12">
        <v>6</v>
      </c>
      <c r="H301" s="12" t="s">
        <v>214</v>
      </c>
      <c r="I301" s="45">
        <v>45292</v>
      </c>
      <c r="J301" s="45">
        <v>45218</v>
      </c>
      <c r="K301" s="45">
        <v>45335</v>
      </c>
      <c r="L301" s="12" t="s">
        <v>91</v>
      </c>
      <c r="M301" s="12" t="s">
        <v>60</v>
      </c>
      <c r="N301" s="12"/>
      <c r="O301" s="12"/>
      <c r="P301" s="12" t="s">
        <v>1017</v>
      </c>
      <c r="Q301" s="12"/>
    </row>
    <row r="302" spans="1:17" ht="30" x14ac:dyDescent="0.25">
      <c r="A302" s="12" t="s">
        <v>1034</v>
      </c>
      <c r="B302" s="12" t="s">
        <v>194</v>
      </c>
      <c r="C302" s="12" t="s">
        <v>195</v>
      </c>
      <c r="D302" s="12" t="s">
        <v>77</v>
      </c>
      <c r="E302" s="12" t="s">
        <v>212</v>
      </c>
      <c r="F302" s="12" t="s">
        <v>604</v>
      </c>
      <c r="G302" s="12">
        <v>6</v>
      </c>
      <c r="H302" s="12" t="s">
        <v>550</v>
      </c>
      <c r="I302" s="45">
        <v>42370</v>
      </c>
      <c r="J302" s="45">
        <v>42333</v>
      </c>
      <c r="K302" s="45">
        <v>42332</v>
      </c>
      <c r="L302" s="12" t="s">
        <v>91</v>
      </c>
      <c r="M302" s="12" t="s">
        <v>60</v>
      </c>
      <c r="N302" s="12"/>
      <c r="O302" s="12"/>
      <c r="P302" s="12" t="s">
        <v>317</v>
      </c>
      <c r="Q302" s="12"/>
    </row>
    <row r="303" spans="1:17" ht="30" x14ac:dyDescent="0.25">
      <c r="A303" s="12" t="s">
        <v>1035</v>
      </c>
      <c r="B303" s="12" t="s">
        <v>194</v>
      </c>
      <c r="C303" s="12" t="s">
        <v>195</v>
      </c>
      <c r="D303" s="12" t="s">
        <v>126</v>
      </c>
      <c r="E303" s="12" t="s">
        <v>212</v>
      </c>
      <c r="F303" s="12" t="s">
        <v>604</v>
      </c>
      <c r="G303" s="12">
        <v>6</v>
      </c>
      <c r="H303" s="12" t="s">
        <v>214</v>
      </c>
      <c r="I303" s="45">
        <v>42736</v>
      </c>
      <c r="J303" s="45">
        <v>42669</v>
      </c>
      <c r="K303" s="45">
        <v>42650</v>
      </c>
      <c r="L303" s="12" t="s">
        <v>91</v>
      </c>
      <c r="M303" s="12" t="s">
        <v>60</v>
      </c>
      <c r="N303" s="12"/>
      <c r="O303" s="12"/>
      <c r="P303" s="12" t="s">
        <v>1036</v>
      </c>
      <c r="Q303" s="12"/>
    </row>
    <row r="304" spans="1:17" ht="30" x14ac:dyDescent="0.25">
      <c r="A304" s="12" t="s">
        <v>1037</v>
      </c>
      <c r="B304" s="12" t="s">
        <v>194</v>
      </c>
      <c r="C304" s="12" t="s">
        <v>195</v>
      </c>
      <c r="D304" s="12" t="s">
        <v>55</v>
      </c>
      <c r="E304" s="12" t="s">
        <v>212</v>
      </c>
      <c r="F304" s="12" t="s">
        <v>816</v>
      </c>
      <c r="G304" s="12">
        <v>5</v>
      </c>
      <c r="H304" s="12" t="s">
        <v>214</v>
      </c>
      <c r="I304" s="45">
        <v>43466</v>
      </c>
      <c r="J304" s="45">
        <v>43424</v>
      </c>
      <c r="K304" s="45">
        <v>43392</v>
      </c>
      <c r="L304" s="12" t="s">
        <v>91</v>
      </c>
      <c r="M304" s="12" t="s">
        <v>60</v>
      </c>
      <c r="N304" s="12"/>
      <c r="O304" s="12"/>
      <c r="P304" s="12" t="s">
        <v>347</v>
      </c>
      <c r="Q304" s="12"/>
    </row>
    <row r="305" spans="1:17" ht="30" x14ac:dyDescent="0.25">
      <c r="A305" s="12" t="s">
        <v>1038</v>
      </c>
      <c r="B305" s="12" t="s">
        <v>194</v>
      </c>
      <c r="C305" s="12" t="s">
        <v>195</v>
      </c>
      <c r="D305" s="12" t="s">
        <v>83</v>
      </c>
      <c r="E305" s="12" t="s">
        <v>212</v>
      </c>
      <c r="F305" s="12" t="s">
        <v>816</v>
      </c>
      <c r="G305" s="12">
        <v>5</v>
      </c>
      <c r="H305" s="12" t="s">
        <v>214</v>
      </c>
      <c r="I305" s="45">
        <v>43101</v>
      </c>
      <c r="J305" s="45">
        <v>43062</v>
      </c>
      <c r="K305" s="45">
        <v>43031</v>
      </c>
      <c r="L305" s="12" t="s">
        <v>91</v>
      </c>
      <c r="M305" s="12" t="s">
        <v>60</v>
      </c>
      <c r="N305" s="12"/>
      <c r="O305" s="12"/>
      <c r="P305" s="12" t="s">
        <v>344</v>
      </c>
      <c r="Q305" s="12"/>
    </row>
    <row r="306" spans="1:17" ht="30" x14ac:dyDescent="0.25">
      <c r="A306" s="12" t="s">
        <v>1039</v>
      </c>
      <c r="B306" s="12" t="s">
        <v>194</v>
      </c>
      <c r="C306" s="12" t="s">
        <v>195</v>
      </c>
      <c r="D306" s="12" t="s">
        <v>252</v>
      </c>
      <c r="E306" s="12" t="s">
        <v>212</v>
      </c>
      <c r="F306" s="12" t="s">
        <v>794</v>
      </c>
      <c r="G306" s="12">
        <v>4</v>
      </c>
      <c r="H306" s="12" t="s">
        <v>214</v>
      </c>
      <c r="I306" s="45">
        <v>45658</v>
      </c>
      <c r="J306" s="45">
        <v>45600</v>
      </c>
      <c r="K306" s="45">
        <v>45573</v>
      </c>
      <c r="L306" s="12" t="s">
        <v>59</v>
      </c>
      <c r="M306" s="12" t="s">
        <v>60</v>
      </c>
      <c r="N306" s="12"/>
      <c r="O306" s="12"/>
      <c r="P306" s="12" t="s">
        <v>1040</v>
      </c>
      <c r="Q306" s="12"/>
    </row>
    <row r="307" spans="1:17" ht="30" x14ac:dyDescent="0.25">
      <c r="A307" s="12" t="s">
        <v>1041</v>
      </c>
      <c r="B307" s="12" t="s">
        <v>194</v>
      </c>
      <c r="C307" s="12" t="s">
        <v>195</v>
      </c>
      <c r="D307" s="12" t="s">
        <v>236</v>
      </c>
      <c r="E307" s="12" t="s">
        <v>212</v>
      </c>
      <c r="F307" s="12" t="s">
        <v>816</v>
      </c>
      <c r="G307" s="12">
        <v>5</v>
      </c>
      <c r="H307" s="12" t="s">
        <v>214</v>
      </c>
      <c r="I307" s="45">
        <v>43831</v>
      </c>
      <c r="J307" s="45">
        <v>43787</v>
      </c>
      <c r="K307" s="45">
        <v>43755</v>
      </c>
      <c r="L307" s="12" t="s">
        <v>91</v>
      </c>
      <c r="M307" s="12" t="s">
        <v>60</v>
      </c>
      <c r="N307" s="12"/>
      <c r="O307" s="12"/>
      <c r="P307" s="12" t="s">
        <v>338</v>
      </c>
      <c r="Q307" s="12"/>
    </row>
    <row r="308" spans="1:17" ht="30" x14ac:dyDescent="0.25">
      <c r="A308" s="12" t="s">
        <v>1042</v>
      </c>
      <c r="B308" s="12" t="s">
        <v>194</v>
      </c>
      <c r="C308" s="12" t="s">
        <v>195</v>
      </c>
      <c r="D308" s="12" t="s">
        <v>220</v>
      </c>
      <c r="E308" s="12" t="s">
        <v>212</v>
      </c>
      <c r="F308" s="12" t="s">
        <v>1043</v>
      </c>
      <c r="G308" s="12">
        <v>4</v>
      </c>
      <c r="H308" s="12" t="s">
        <v>214</v>
      </c>
      <c r="I308" s="45">
        <v>45292</v>
      </c>
      <c r="J308" s="45">
        <v>45194</v>
      </c>
      <c r="K308" s="45">
        <v>45167</v>
      </c>
      <c r="L308" s="12" t="s">
        <v>59</v>
      </c>
      <c r="M308" s="12" t="s">
        <v>60</v>
      </c>
      <c r="N308" s="12"/>
      <c r="O308" s="12"/>
      <c r="P308" s="12" t="s">
        <v>1044</v>
      </c>
      <c r="Q308" s="12"/>
    </row>
    <row r="309" spans="1:17" ht="30" x14ac:dyDescent="0.25">
      <c r="A309" s="12" t="s">
        <v>1045</v>
      </c>
      <c r="B309" s="12" t="s">
        <v>194</v>
      </c>
      <c r="C309" s="12" t="s">
        <v>195</v>
      </c>
      <c r="D309" s="12" t="s">
        <v>224</v>
      </c>
      <c r="E309" s="12" t="s">
        <v>212</v>
      </c>
      <c r="F309" s="12" t="s">
        <v>794</v>
      </c>
      <c r="G309" s="12">
        <v>4</v>
      </c>
      <c r="H309" s="12" t="s">
        <v>214</v>
      </c>
      <c r="I309" s="45">
        <v>44927</v>
      </c>
      <c r="J309" s="45">
        <v>44760</v>
      </c>
      <c r="K309" s="45">
        <v>44732</v>
      </c>
      <c r="L309" s="12" t="s">
        <v>91</v>
      </c>
      <c r="M309" s="12" t="s">
        <v>60</v>
      </c>
      <c r="N309" s="12"/>
      <c r="O309" s="12"/>
      <c r="P309" s="12" t="s">
        <v>1046</v>
      </c>
      <c r="Q309" s="12"/>
    </row>
    <row r="310" spans="1:17" ht="30" x14ac:dyDescent="0.25">
      <c r="A310" s="12" t="s">
        <v>1047</v>
      </c>
      <c r="B310" s="12" t="s">
        <v>194</v>
      </c>
      <c r="C310" s="12" t="s">
        <v>195</v>
      </c>
      <c r="D310" s="12" t="s">
        <v>228</v>
      </c>
      <c r="E310" s="12" t="s">
        <v>212</v>
      </c>
      <c r="F310" s="12" t="s">
        <v>794</v>
      </c>
      <c r="G310" s="12">
        <v>4</v>
      </c>
      <c r="H310" s="12" t="s">
        <v>214</v>
      </c>
      <c r="I310" s="45">
        <v>44562</v>
      </c>
      <c r="J310" s="45">
        <v>44404</v>
      </c>
      <c r="K310" s="45">
        <v>44376</v>
      </c>
      <c r="L310" s="12" t="s">
        <v>91</v>
      </c>
      <c r="M310" s="12" t="s">
        <v>60</v>
      </c>
      <c r="N310" s="12"/>
      <c r="O310" s="12"/>
      <c r="P310" s="12" t="s">
        <v>1048</v>
      </c>
      <c r="Q310" s="12"/>
    </row>
    <row r="311" spans="1:17" ht="30" x14ac:dyDescent="0.25">
      <c r="A311" s="12" t="s">
        <v>1049</v>
      </c>
      <c r="B311" s="12" t="s">
        <v>194</v>
      </c>
      <c r="C311" s="12" t="s">
        <v>195</v>
      </c>
      <c r="D311" s="12" t="s">
        <v>232</v>
      </c>
      <c r="E311" s="12" t="s">
        <v>212</v>
      </c>
      <c r="F311" s="12" t="s">
        <v>816</v>
      </c>
      <c r="G311" s="12">
        <v>5</v>
      </c>
      <c r="H311" s="12" t="s">
        <v>214</v>
      </c>
      <c r="I311" s="45">
        <v>44197</v>
      </c>
      <c r="J311" s="45">
        <v>44154</v>
      </c>
      <c r="K311" s="45">
        <v>44126</v>
      </c>
      <c r="L311" s="12" t="s">
        <v>91</v>
      </c>
      <c r="M311" s="12" t="s">
        <v>60</v>
      </c>
      <c r="N311" s="12"/>
      <c r="O311" s="12"/>
      <c r="P311" s="12" t="s">
        <v>335</v>
      </c>
      <c r="Q311" s="12"/>
    </row>
    <row r="312" spans="1:17" ht="45" x14ac:dyDescent="0.25">
      <c r="A312" s="12" t="s">
        <v>1050</v>
      </c>
      <c r="B312" s="12" t="s">
        <v>197</v>
      </c>
      <c r="C312" s="12" t="s">
        <v>198</v>
      </c>
      <c r="D312" s="12" t="s">
        <v>83</v>
      </c>
      <c r="E312" s="12" t="s">
        <v>212</v>
      </c>
      <c r="F312" s="12" t="s">
        <v>1051</v>
      </c>
      <c r="G312" s="12">
        <v>4</v>
      </c>
      <c r="H312" s="12" t="s">
        <v>214</v>
      </c>
      <c r="I312" s="45">
        <v>43101</v>
      </c>
      <c r="J312" s="45">
        <v>42919</v>
      </c>
      <c r="K312" s="45">
        <v>43090</v>
      </c>
      <c r="L312" s="12" t="s">
        <v>91</v>
      </c>
      <c r="M312" s="12" t="s">
        <v>60</v>
      </c>
      <c r="N312" s="12"/>
      <c r="O312" s="12"/>
      <c r="P312" s="12"/>
      <c r="Q312" s="12"/>
    </row>
    <row r="313" spans="1:17" ht="60" x14ac:dyDescent="0.25">
      <c r="A313" s="12" t="s">
        <v>1052</v>
      </c>
      <c r="B313" s="12" t="s">
        <v>197</v>
      </c>
      <c r="C313" s="12" t="s">
        <v>198</v>
      </c>
      <c r="D313" s="12" t="s">
        <v>55</v>
      </c>
      <c r="E313" s="12" t="s">
        <v>212</v>
      </c>
      <c r="F313" s="12" t="s">
        <v>1053</v>
      </c>
      <c r="G313" s="12">
        <v>4</v>
      </c>
      <c r="H313" s="12" t="s">
        <v>214</v>
      </c>
      <c r="I313" s="45">
        <v>43466</v>
      </c>
      <c r="J313" s="45">
        <v>43392</v>
      </c>
      <c r="K313" s="45">
        <v>43404</v>
      </c>
      <c r="L313" s="12" t="s">
        <v>91</v>
      </c>
      <c r="M313" s="12" t="s">
        <v>60</v>
      </c>
      <c r="N313" s="12"/>
      <c r="O313" s="12"/>
      <c r="P313" s="12" t="s">
        <v>1054</v>
      </c>
      <c r="Q313" s="12"/>
    </row>
    <row r="314" spans="1:17" ht="45" x14ac:dyDescent="0.25">
      <c r="A314" s="12" t="s">
        <v>1055</v>
      </c>
      <c r="B314" s="12" t="s">
        <v>197</v>
      </c>
      <c r="C314" s="12" t="s">
        <v>198</v>
      </c>
      <c r="D314" s="12" t="s">
        <v>236</v>
      </c>
      <c r="E314" s="12" t="s">
        <v>212</v>
      </c>
      <c r="F314" s="12" t="s">
        <v>794</v>
      </c>
      <c r="G314" s="12">
        <v>4</v>
      </c>
      <c r="H314" s="12" t="s">
        <v>214</v>
      </c>
      <c r="I314" s="45">
        <v>43831</v>
      </c>
      <c r="J314" s="45">
        <v>43738</v>
      </c>
      <c r="K314" s="45">
        <v>43851</v>
      </c>
      <c r="L314" s="12" t="s">
        <v>91</v>
      </c>
      <c r="M314" s="12" t="s">
        <v>60</v>
      </c>
      <c r="N314" s="12"/>
      <c r="O314" s="12"/>
      <c r="P314" s="12" t="s">
        <v>1056</v>
      </c>
      <c r="Q314" s="12"/>
    </row>
    <row r="315" spans="1:17" ht="45" x14ac:dyDescent="0.25">
      <c r="A315" s="12" t="s">
        <v>1057</v>
      </c>
      <c r="B315" s="12" t="s">
        <v>197</v>
      </c>
      <c r="C315" s="12" t="s">
        <v>198</v>
      </c>
      <c r="D315" s="12" t="s">
        <v>232</v>
      </c>
      <c r="E315" s="12" t="s">
        <v>212</v>
      </c>
      <c r="F315" s="12" t="s">
        <v>1058</v>
      </c>
      <c r="G315" s="12">
        <v>4</v>
      </c>
      <c r="H315" s="12" t="s">
        <v>214</v>
      </c>
      <c r="I315" s="45">
        <v>44194</v>
      </c>
      <c r="J315" s="45">
        <v>44194</v>
      </c>
      <c r="K315" s="45">
        <v>44162</v>
      </c>
      <c r="L315" s="12" t="s">
        <v>91</v>
      </c>
      <c r="M315" s="12" t="s">
        <v>60</v>
      </c>
      <c r="N315" s="12"/>
      <c r="O315" s="12"/>
      <c r="P315" s="12" t="s">
        <v>1059</v>
      </c>
      <c r="Q315" s="12"/>
    </row>
    <row r="316" spans="1:17" ht="60" x14ac:dyDescent="0.25">
      <c r="A316" s="12" t="s">
        <v>1060</v>
      </c>
      <c r="B316" s="12" t="s">
        <v>197</v>
      </c>
      <c r="C316" s="12" t="s">
        <v>198</v>
      </c>
      <c r="D316" s="12" t="s">
        <v>228</v>
      </c>
      <c r="E316" s="12" t="s">
        <v>212</v>
      </c>
      <c r="F316" s="12" t="s">
        <v>1061</v>
      </c>
      <c r="G316" s="12">
        <v>4</v>
      </c>
      <c r="H316" s="12" t="s">
        <v>214</v>
      </c>
      <c r="I316" s="45">
        <v>44562</v>
      </c>
      <c r="J316" s="45">
        <v>44382</v>
      </c>
      <c r="K316" s="45">
        <v>44533</v>
      </c>
      <c r="L316" s="12" t="s">
        <v>91</v>
      </c>
      <c r="M316" s="12" t="s">
        <v>60</v>
      </c>
      <c r="N316" s="12"/>
      <c r="O316" s="12"/>
      <c r="P316" s="12"/>
      <c r="Q316" s="12"/>
    </row>
    <row r="317" spans="1:17" ht="30" x14ac:dyDescent="0.25">
      <c r="A317" s="12" t="s">
        <v>1062</v>
      </c>
      <c r="B317" s="12" t="s">
        <v>197</v>
      </c>
      <c r="C317" s="12" t="s">
        <v>198</v>
      </c>
      <c r="D317" s="12" t="s">
        <v>224</v>
      </c>
      <c r="E317" s="12" t="s">
        <v>212</v>
      </c>
      <c r="F317" s="12" t="s">
        <v>1063</v>
      </c>
      <c r="G317" s="12">
        <v>4</v>
      </c>
      <c r="H317" s="12" t="s">
        <v>214</v>
      </c>
      <c r="I317" s="45">
        <v>44926</v>
      </c>
      <c r="J317" s="45">
        <v>44763</v>
      </c>
      <c r="K317" s="45">
        <v>44733</v>
      </c>
      <c r="L317" s="12" t="s">
        <v>91</v>
      </c>
      <c r="M317" s="12" t="s">
        <v>60</v>
      </c>
      <c r="N317" s="12"/>
      <c r="O317" s="12"/>
      <c r="P317" s="12" t="s">
        <v>1064</v>
      </c>
      <c r="Q317" s="12"/>
    </row>
    <row r="318" spans="1:17" ht="30" x14ac:dyDescent="0.25">
      <c r="A318" s="12" t="s">
        <v>1065</v>
      </c>
      <c r="B318" s="12" t="s">
        <v>197</v>
      </c>
      <c r="C318" s="12" t="s">
        <v>198</v>
      </c>
      <c r="D318" s="12" t="s">
        <v>220</v>
      </c>
      <c r="E318" s="12" t="s">
        <v>212</v>
      </c>
      <c r="F318" s="12" t="s">
        <v>1066</v>
      </c>
      <c r="G318" s="12">
        <v>4</v>
      </c>
      <c r="H318" s="12" t="s">
        <v>214</v>
      </c>
      <c r="I318" s="45">
        <v>45291</v>
      </c>
      <c r="J318" s="45">
        <v>45177</v>
      </c>
      <c r="K318" s="45">
        <v>45208</v>
      </c>
      <c r="L318" s="12" t="s">
        <v>59</v>
      </c>
      <c r="M318" s="12" t="s">
        <v>60</v>
      </c>
      <c r="N318" s="12"/>
      <c r="O318" s="12"/>
      <c r="P318" s="12"/>
      <c r="Q318" s="12"/>
    </row>
    <row r="319" spans="1:17" ht="60" x14ac:dyDescent="0.25">
      <c r="A319" s="12" t="s">
        <v>1067</v>
      </c>
      <c r="B319" s="12" t="s">
        <v>197</v>
      </c>
      <c r="C319" s="12" t="s">
        <v>198</v>
      </c>
      <c r="D319" s="12" t="s">
        <v>252</v>
      </c>
      <c r="E319" s="12" t="s">
        <v>212</v>
      </c>
      <c r="F319" s="12" t="s">
        <v>1068</v>
      </c>
      <c r="G319" s="12">
        <v>4</v>
      </c>
      <c r="H319" s="12" t="s">
        <v>214</v>
      </c>
      <c r="I319" s="45">
        <v>45658</v>
      </c>
      <c r="J319" s="45">
        <v>45450</v>
      </c>
      <c r="K319" s="45">
        <v>45456</v>
      </c>
      <c r="L319" s="12" t="s">
        <v>59</v>
      </c>
      <c r="M319" s="12" t="s">
        <v>60</v>
      </c>
      <c r="N319" s="12"/>
      <c r="O319" s="12"/>
      <c r="P319" s="12" t="s">
        <v>1069</v>
      </c>
      <c r="Q319" s="12"/>
    </row>
    <row r="320" spans="1:17" ht="75" x14ac:dyDescent="0.25">
      <c r="A320" s="12" t="s">
        <v>1070</v>
      </c>
      <c r="B320" s="12" t="s">
        <v>197</v>
      </c>
      <c r="C320" s="12" t="s">
        <v>198</v>
      </c>
      <c r="D320" s="12" t="s">
        <v>126</v>
      </c>
      <c r="E320" s="12" t="s">
        <v>212</v>
      </c>
      <c r="F320" s="12" t="s">
        <v>1071</v>
      </c>
      <c r="G320" s="12">
        <v>4</v>
      </c>
      <c r="H320" s="12" t="s">
        <v>550</v>
      </c>
      <c r="I320" s="45">
        <v>42370</v>
      </c>
      <c r="J320" s="45">
        <v>42289</v>
      </c>
      <c r="K320" s="45">
        <v>42291</v>
      </c>
      <c r="L320" s="12" t="s">
        <v>91</v>
      </c>
      <c r="M320" s="12" t="s">
        <v>60</v>
      </c>
      <c r="N320" s="12"/>
      <c r="O320" s="12"/>
      <c r="P320" s="12" t="s">
        <v>1072</v>
      </c>
      <c r="Q320" s="12"/>
    </row>
    <row r="321" spans="1:17" ht="60" x14ac:dyDescent="0.25">
      <c r="A321" s="12" t="s">
        <v>1073</v>
      </c>
      <c r="B321" s="12" t="s">
        <v>200</v>
      </c>
      <c r="C321" s="12" t="s">
        <v>203</v>
      </c>
      <c r="D321" s="12" t="s">
        <v>126</v>
      </c>
      <c r="E321" s="12" t="s">
        <v>212</v>
      </c>
      <c r="F321" s="12" t="s">
        <v>1074</v>
      </c>
      <c r="G321" s="12">
        <v>16</v>
      </c>
      <c r="H321" s="12" t="s">
        <v>214</v>
      </c>
      <c r="I321" s="45">
        <v>42468</v>
      </c>
      <c r="J321" s="45">
        <v>42419</v>
      </c>
      <c r="K321" s="45">
        <v>42468</v>
      </c>
      <c r="L321" s="12" t="s">
        <v>91</v>
      </c>
      <c r="M321" s="12" t="s">
        <v>60</v>
      </c>
      <c r="N321" s="12"/>
      <c r="O321" s="12"/>
      <c r="P321" s="12" t="s">
        <v>1075</v>
      </c>
      <c r="Q321" s="12"/>
    </row>
    <row r="322" spans="1:17" ht="90" x14ac:dyDescent="0.25">
      <c r="A322" s="12" t="s">
        <v>1076</v>
      </c>
      <c r="B322" s="12" t="s">
        <v>200</v>
      </c>
      <c r="C322" s="12" t="s">
        <v>203</v>
      </c>
      <c r="D322" s="12" t="s">
        <v>232</v>
      </c>
      <c r="E322" s="12" t="s">
        <v>212</v>
      </c>
      <c r="F322" s="12" t="s">
        <v>1077</v>
      </c>
      <c r="G322" s="12">
        <v>15</v>
      </c>
      <c r="H322" s="12" t="s">
        <v>214</v>
      </c>
      <c r="I322" s="45">
        <v>44194</v>
      </c>
      <c r="J322" s="45">
        <v>44169</v>
      </c>
      <c r="K322" s="45">
        <v>44179</v>
      </c>
      <c r="L322" s="12" t="s">
        <v>59</v>
      </c>
      <c r="M322" s="12" t="s">
        <v>60</v>
      </c>
      <c r="N322" s="12"/>
      <c r="O322" s="12"/>
      <c r="P322" s="12" t="s">
        <v>1078</v>
      </c>
      <c r="Q322" s="12"/>
    </row>
    <row r="323" spans="1:17" ht="30" x14ac:dyDescent="0.25">
      <c r="A323" s="12" t="s">
        <v>1079</v>
      </c>
      <c r="B323" s="12" t="s">
        <v>200</v>
      </c>
      <c r="C323" s="12" t="s">
        <v>203</v>
      </c>
      <c r="D323" s="12" t="s">
        <v>236</v>
      </c>
      <c r="E323" s="12" t="s">
        <v>212</v>
      </c>
      <c r="F323" s="12" t="s">
        <v>1080</v>
      </c>
      <c r="G323" s="12">
        <v>15</v>
      </c>
      <c r="H323" s="12" t="s">
        <v>214</v>
      </c>
      <c r="I323" s="45">
        <v>43831</v>
      </c>
      <c r="J323" s="45">
        <v>43790</v>
      </c>
      <c r="K323" s="45">
        <v>43798</v>
      </c>
      <c r="L323" s="12" t="s">
        <v>91</v>
      </c>
      <c r="M323" s="12" t="s">
        <v>60</v>
      </c>
      <c r="N323" s="12"/>
      <c r="O323" s="12"/>
      <c r="P323" s="12" t="s">
        <v>363</v>
      </c>
      <c r="Q323" s="12"/>
    </row>
    <row r="324" spans="1:17" ht="30" x14ac:dyDescent="0.25">
      <c r="A324" s="12" t="s">
        <v>1081</v>
      </c>
      <c r="B324" s="12" t="s">
        <v>200</v>
      </c>
      <c r="C324" s="12" t="s">
        <v>203</v>
      </c>
      <c r="D324" s="12" t="s">
        <v>55</v>
      </c>
      <c r="E324" s="12" t="s">
        <v>212</v>
      </c>
      <c r="F324" s="12" t="s">
        <v>1080</v>
      </c>
      <c r="G324" s="12">
        <v>15</v>
      </c>
      <c r="H324" s="12" t="s">
        <v>214</v>
      </c>
      <c r="I324" s="45">
        <v>43466</v>
      </c>
      <c r="J324" s="45">
        <v>43405</v>
      </c>
      <c r="K324" s="45">
        <v>43433</v>
      </c>
      <c r="L324" s="12" t="s">
        <v>91</v>
      </c>
      <c r="M324" s="12" t="s">
        <v>60</v>
      </c>
      <c r="N324" s="12"/>
      <c r="O324" s="12"/>
      <c r="P324" s="12" t="s">
        <v>363</v>
      </c>
      <c r="Q324" s="12"/>
    </row>
    <row r="325" spans="1:17" ht="30" x14ac:dyDescent="0.25">
      <c r="A325" s="12" t="s">
        <v>1082</v>
      </c>
      <c r="B325" s="12" t="s">
        <v>200</v>
      </c>
      <c r="C325" s="12" t="s">
        <v>203</v>
      </c>
      <c r="D325" s="12" t="s">
        <v>83</v>
      </c>
      <c r="E325" s="12" t="s">
        <v>212</v>
      </c>
      <c r="F325" s="12" t="s">
        <v>1083</v>
      </c>
      <c r="G325" s="12">
        <v>16</v>
      </c>
      <c r="H325" s="12" t="s">
        <v>214</v>
      </c>
      <c r="I325" s="45">
        <v>43101</v>
      </c>
      <c r="J325" s="45">
        <v>43069</v>
      </c>
      <c r="K325" s="45">
        <v>43070</v>
      </c>
      <c r="L325" s="12" t="s">
        <v>91</v>
      </c>
      <c r="M325" s="12" t="s">
        <v>60</v>
      </c>
      <c r="N325" s="12"/>
      <c r="O325" s="12"/>
      <c r="P325" s="12" t="s">
        <v>363</v>
      </c>
      <c r="Q325" s="12"/>
    </row>
    <row r="326" spans="1:17" ht="30" x14ac:dyDescent="0.25">
      <c r="A326" s="12" t="s">
        <v>1084</v>
      </c>
      <c r="B326" s="12" t="s">
        <v>200</v>
      </c>
      <c r="C326" s="12" t="s">
        <v>203</v>
      </c>
      <c r="D326" s="12" t="s">
        <v>126</v>
      </c>
      <c r="E326" s="12" t="s">
        <v>212</v>
      </c>
      <c r="F326" s="12" t="s">
        <v>1083</v>
      </c>
      <c r="G326" s="12">
        <v>16</v>
      </c>
      <c r="H326" s="12" t="s">
        <v>214</v>
      </c>
      <c r="I326" s="45">
        <v>42736</v>
      </c>
      <c r="J326" s="45">
        <v>42703</v>
      </c>
      <c r="K326" s="45">
        <v>42706</v>
      </c>
      <c r="L326" s="12" t="s">
        <v>91</v>
      </c>
      <c r="M326" s="12" t="s">
        <v>60</v>
      </c>
      <c r="N326" s="12"/>
      <c r="O326" s="12"/>
      <c r="P326" s="12"/>
      <c r="Q326" s="12"/>
    </row>
  </sheetData>
  <mergeCells count="2">
    <mergeCell ref="I4:K4"/>
    <mergeCell ref="M4:O4"/>
  </mergeCells>
  <hyperlinks>
    <hyperlink ref="A1" location="'Table of Contents'!A1" display="&lt; Table of Contents" xr:uid="{00000000-0004-0000-0400-000000000000}"/>
  </hyperlinks>
  <pageMargins left="0.7" right="0.7" top="0.75" bottom="0.75" header="0.3" footer="0.3"/>
  <pageSetup paperSize="9" scale="56" fitToHeight="0" orientation="landscape"/>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V112"/>
  <sheetViews>
    <sheetView zoomScaleNormal="100" workbookViewId="0">
      <selection activeCell="C6" sqref="C6"/>
    </sheetView>
  </sheetViews>
  <sheetFormatPr defaultColWidth="9.140625" defaultRowHeight="15" x14ac:dyDescent="0.25"/>
  <cols>
    <col min="1" max="1" width="12.5703125" style="17" customWidth="1"/>
    <col min="2" max="2" width="15.5703125" style="17" customWidth="1"/>
    <col min="3" max="3" width="25.5703125" style="17" customWidth="1"/>
    <col min="4" max="5" width="12.5703125" style="17" customWidth="1"/>
    <col min="6" max="6" width="40.5703125" style="17" customWidth="1"/>
    <col min="7" max="7" width="15.5703125" style="17" customWidth="1"/>
    <col min="8" max="8" width="15.5703125" style="23" customWidth="1"/>
    <col min="9" max="9" width="17.5703125" style="23" customWidth="1"/>
    <col min="10" max="10" width="17.5703125" style="31" customWidth="1"/>
    <col min="11" max="12" width="17.5703125" style="32" customWidth="1"/>
    <col min="13" max="14" width="12.5703125" style="10" customWidth="1"/>
    <col min="15" max="15" width="20.5703125" style="10" customWidth="1"/>
    <col min="16" max="16" width="20.5703125" style="32" customWidth="1"/>
    <col min="17" max="17" width="20.5703125" style="10" customWidth="1"/>
    <col min="18" max="18" width="50.5703125" style="17" customWidth="1"/>
    <col min="19" max="19" width="18.5703125" style="23" customWidth="1"/>
    <col min="20" max="20" width="19.5703125" style="23" customWidth="1"/>
    <col min="21" max="21" width="18.5703125" style="23" customWidth="1"/>
    <col min="22" max="22" width="8.85546875" style="1" customWidth="1"/>
    <col min="23" max="23" width="9.140625" style="17" customWidth="1"/>
    <col min="24" max="16384" width="9.140625" style="17"/>
  </cols>
  <sheetData>
    <row r="1" spans="1:22" s="8" customFormat="1" ht="12.95" customHeight="1" x14ac:dyDescent="0.25">
      <c r="A1" s="36" t="s">
        <v>33</v>
      </c>
      <c r="B1" s="12"/>
      <c r="C1" s="12"/>
      <c r="D1" s="12"/>
      <c r="E1" s="12"/>
      <c r="F1" s="12"/>
      <c r="G1" s="12"/>
      <c r="H1" s="38"/>
      <c r="I1" s="38"/>
      <c r="J1" s="37"/>
      <c r="K1" s="37"/>
      <c r="L1" s="37"/>
      <c r="M1" s="12"/>
      <c r="N1" s="12"/>
      <c r="O1" s="12"/>
      <c r="P1" s="46"/>
      <c r="Q1" s="12"/>
      <c r="R1" s="12"/>
      <c r="S1" s="38"/>
      <c r="T1" s="38"/>
      <c r="U1" s="38"/>
      <c r="V1" s="12"/>
    </row>
    <row r="2" spans="1:22" s="8" customFormat="1" ht="12.95" customHeight="1" x14ac:dyDescent="0.25">
      <c r="A2" s="39"/>
      <c r="B2" s="12"/>
      <c r="C2" s="12"/>
      <c r="D2" s="12"/>
      <c r="E2" s="12"/>
      <c r="F2" s="12"/>
      <c r="G2" s="12"/>
      <c r="H2" s="38"/>
      <c r="I2" s="38"/>
      <c r="J2" s="37"/>
      <c r="K2" s="37"/>
      <c r="L2" s="37"/>
      <c r="M2" s="12"/>
      <c r="N2" s="12"/>
      <c r="O2" s="12"/>
      <c r="P2" s="46"/>
      <c r="Q2" s="12"/>
      <c r="R2" s="12"/>
      <c r="S2" s="38"/>
      <c r="T2" s="38"/>
      <c r="U2" s="38"/>
      <c r="V2" s="12"/>
    </row>
    <row r="3" spans="1:22" s="8" customFormat="1" ht="21" customHeight="1" x14ac:dyDescent="0.35">
      <c r="A3" s="40" t="s">
        <v>1085</v>
      </c>
      <c r="B3" s="12"/>
      <c r="C3" s="12"/>
      <c r="D3" s="12"/>
      <c r="E3" s="12"/>
      <c r="F3" s="12"/>
      <c r="G3" s="12"/>
      <c r="H3" s="38"/>
      <c r="I3" s="38"/>
      <c r="J3" s="37"/>
      <c r="K3" s="37"/>
      <c r="L3" s="37"/>
      <c r="M3" s="12"/>
      <c r="N3" s="12"/>
      <c r="O3" s="12"/>
      <c r="P3" s="46"/>
      <c r="Q3" s="12"/>
      <c r="R3" s="12"/>
      <c r="S3" s="38"/>
      <c r="T3" s="38"/>
      <c r="U3" s="38"/>
      <c r="V3" s="12"/>
    </row>
    <row r="4" spans="1:22" s="8" customFormat="1" ht="12.95" customHeight="1" x14ac:dyDescent="0.25">
      <c r="A4" s="39"/>
      <c r="B4" s="12"/>
      <c r="C4" s="12"/>
      <c r="D4" s="12"/>
      <c r="E4" s="12"/>
      <c r="F4" s="12"/>
      <c r="G4" s="12"/>
      <c r="H4" s="38"/>
      <c r="I4" s="38"/>
      <c r="J4" s="57" t="s">
        <v>35</v>
      </c>
      <c r="K4" s="55"/>
      <c r="L4" s="56"/>
      <c r="M4" s="12"/>
      <c r="N4" s="12"/>
      <c r="O4" s="58" t="s">
        <v>36</v>
      </c>
      <c r="P4" s="55"/>
      <c r="Q4" s="56"/>
      <c r="R4" s="12"/>
      <c r="S4" s="54" t="s">
        <v>1086</v>
      </c>
      <c r="T4" s="55"/>
      <c r="U4" s="56"/>
      <c r="V4" s="12"/>
    </row>
    <row r="5" spans="1:22" ht="26.1" customHeight="1" x14ac:dyDescent="0.2">
      <c r="A5" s="41" t="s">
        <v>37</v>
      </c>
      <c r="B5" s="41" t="s">
        <v>38</v>
      </c>
      <c r="C5" s="41" t="s">
        <v>39</v>
      </c>
      <c r="D5" s="41" t="s">
        <v>208</v>
      </c>
      <c r="E5" s="41" t="s">
        <v>41</v>
      </c>
      <c r="F5" s="41" t="s">
        <v>42</v>
      </c>
      <c r="G5" s="41" t="s">
        <v>210</v>
      </c>
      <c r="H5" s="41" t="s">
        <v>1087</v>
      </c>
      <c r="I5" s="41" t="s">
        <v>1088</v>
      </c>
      <c r="J5" s="42" t="s">
        <v>44</v>
      </c>
      <c r="K5" s="42" t="s">
        <v>45</v>
      </c>
      <c r="L5" s="42" t="s">
        <v>46</v>
      </c>
      <c r="M5" s="43" t="s">
        <v>47</v>
      </c>
      <c r="N5" s="43" t="s">
        <v>1089</v>
      </c>
      <c r="O5" s="43" t="s">
        <v>48</v>
      </c>
      <c r="P5" s="47" t="s">
        <v>49</v>
      </c>
      <c r="Q5" s="43" t="s">
        <v>50</v>
      </c>
      <c r="R5" s="41" t="s">
        <v>51</v>
      </c>
      <c r="S5" s="41" t="s">
        <v>1090</v>
      </c>
      <c r="T5" s="41" t="s">
        <v>1091</v>
      </c>
      <c r="U5" s="41" t="s">
        <v>1092</v>
      </c>
      <c r="V5" s="44"/>
    </row>
    <row r="6" spans="1:22" ht="51.95" customHeight="1" x14ac:dyDescent="0.25">
      <c r="A6" s="12" t="s">
        <v>1093</v>
      </c>
      <c r="B6" s="12" t="s">
        <v>53</v>
      </c>
      <c r="C6" s="12" t="s">
        <v>54</v>
      </c>
      <c r="D6" s="12" t="s">
        <v>232</v>
      </c>
      <c r="E6" s="12" t="s">
        <v>212</v>
      </c>
      <c r="F6" s="12" t="s">
        <v>1094</v>
      </c>
      <c r="G6" s="12" t="s">
        <v>915</v>
      </c>
      <c r="H6" s="12" t="s">
        <v>1095</v>
      </c>
      <c r="I6" s="12" t="s">
        <v>1096</v>
      </c>
      <c r="J6" s="45">
        <v>44194</v>
      </c>
      <c r="K6" s="45">
        <v>44183</v>
      </c>
      <c r="L6" s="45">
        <v>44181</v>
      </c>
      <c r="M6" s="12" t="s">
        <v>91</v>
      </c>
      <c r="N6" s="12" t="s">
        <v>1097</v>
      </c>
      <c r="O6" s="12" t="s">
        <v>60</v>
      </c>
      <c r="P6" s="12"/>
      <c r="Q6" s="12"/>
      <c r="R6" s="12" t="s">
        <v>1098</v>
      </c>
      <c r="S6" s="12" t="s">
        <v>60</v>
      </c>
      <c r="T6" s="12"/>
      <c r="U6" s="12"/>
      <c r="V6" s="12"/>
    </row>
    <row r="7" spans="1:22" ht="90.95" customHeight="1" x14ac:dyDescent="0.25">
      <c r="A7" s="12" t="s">
        <v>1099</v>
      </c>
      <c r="B7" s="12" t="s">
        <v>53</v>
      </c>
      <c r="C7" s="12" t="s">
        <v>54</v>
      </c>
      <c r="D7" s="12" t="s">
        <v>224</v>
      </c>
      <c r="E7" s="12" t="s">
        <v>212</v>
      </c>
      <c r="F7" s="12" t="s">
        <v>1100</v>
      </c>
      <c r="G7" s="12" t="s">
        <v>915</v>
      </c>
      <c r="H7" s="12" t="s">
        <v>1095</v>
      </c>
      <c r="I7" s="12" t="s">
        <v>1096</v>
      </c>
      <c r="J7" s="45">
        <v>44927</v>
      </c>
      <c r="K7" s="45">
        <v>44915</v>
      </c>
      <c r="L7" s="45">
        <v>44887</v>
      </c>
      <c r="M7" s="12" t="s">
        <v>59</v>
      </c>
      <c r="N7" s="12" t="s">
        <v>1097</v>
      </c>
      <c r="O7" s="12" t="s">
        <v>60</v>
      </c>
      <c r="P7" s="12"/>
      <c r="Q7" s="12"/>
      <c r="R7" s="12"/>
      <c r="S7" s="12" t="s">
        <v>60</v>
      </c>
      <c r="T7" s="12"/>
      <c r="U7" s="12"/>
      <c r="V7" s="12"/>
    </row>
    <row r="8" spans="1:22" ht="65.099999999999994" customHeight="1" x14ac:dyDescent="0.25">
      <c r="A8" s="12" t="s">
        <v>1101</v>
      </c>
      <c r="B8" s="12" t="s">
        <v>53</v>
      </c>
      <c r="C8" s="12" t="s">
        <v>54</v>
      </c>
      <c r="D8" s="12" t="s">
        <v>224</v>
      </c>
      <c r="E8" s="12" t="s">
        <v>212</v>
      </c>
      <c r="F8" s="12" t="s">
        <v>1102</v>
      </c>
      <c r="G8" s="12" t="s">
        <v>915</v>
      </c>
      <c r="H8" s="12" t="s">
        <v>1095</v>
      </c>
      <c r="I8" s="12" t="s">
        <v>1096</v>
      </c>
      <c r="J8" s="45">
        <v>44927</v>
      </c>
      <c r="K8" s="45">
        <v>44915</v>
      </c>
      <c r="L8" s="45">
        <v>44887</v>
      </c>
      <c r="M8" s="12" t="s">
        <v>59</v>
      </c>
      <c r="N8" s="12" t="s">
        <v>1097</v>
      </c>
      <c r="O8" s="12" t="s">
        <v>60</v>
      </c>
      <c r="P8" s="12"/>
      <c r="Q8" s="12"/>
      <c r="R8" s="12"/>
      <c r="S8" s="12" t="s">
        <v>60</v>
      </c>
      <c r="T8" s="12"/>
      <c r="U8" s="12"/>
      <c r="V8" s="12"/>
    </row>
    <row r="9" spans="1:22" ht="26.1" customHeight="1" x14ac:dyDescent="0.25">
      <c r="A9" s="12" t="s">
        <v>1103</v>
      </c>
      <c r="B9" s="12" t="s">
        <v>53</v>
      </c>
      <c r="C9" s="12" t="s">
        <v>54</v>
      </c>
      <c r="D9" s="12" t="s">
        <v>252</v>
      </c>
      <c r="E9" s="12" t="s">
        <v>212</v>
      </c>
      <c r="F9" s="12" t="s">
        <v>1104</v>
      </c>
      <c r="G9" s="12" t="s">
        <v>915</v>
      </c>
      <c r="H9" s="12" t="s">
        <v>1095</v>
      </c>
      <c r="I9" s="12" t="s">
        <v>1105</v>
      </c>
      <c r="J9" s="45">
        <v>45658</v>
      </c>
      <c r="K9" s="45">
        <v>45643</v>
      </c>
      <c r="L9" s="45">
        <v>45618</v>
      </c>
      <c r="M9" s="12" t="s">
        <v>59</v>
      </c>
      <c r="N9" s="12" t="s">
        <v>1097</v>
      </c>
      <c r="O9" s="12" t="s">
        <v>60</v>
      </c>
      <c r="P9" s="12"/>
      <c r="Q9" s="12"/>
      <c r="R9" s="12"/>
      <c r="S9" s="12" t="s">
        <v>60</v>
      </c>
      <c r="T9" s="12"/>
      <c r="U9" s="12"/>
      <c r="V9" s="12"/>
    </row>
    <row r="10" spans="1:22" ht="26.1" customHeight="1" x14ac:dyDescent="0.25">
      <c r="A10" s="12" t="s">
        <v>1106</v>
      </c>
      <c r="B10" s="12" t="s">
        <v>53</v>
      </c>
      <c r="C10" s="12" t="s">
        <v>54</v>
      </c>
      <c r="D10" s="12" t="s">
        <v>228</v>
      </c>
      <c r="E10" s="12" t="s">
        <v>212</v>
      </c>
      <c r="F10" s="12" t="s">
        <v>1107</v>
      </c>
      <c r="G10" s="12" t="s">
        <v>915</v>
      </c>
      <c r="H10" s="12" t="s">
        <v>1095</v>
      </c>
      <c r="I10" s="12" t="s">
        <v>1096</v>
      </c>
      <c r="J10" s="45">
        <v>44350</v>
      </c>
      <c r="K10" s="45">
        <v>44348</v>
      </c>
      <c r="L10" s="45">
        <v>44328</v>
      </c>
      <c r="M10" s="12" t="s">
        <v>91</v>
      </c>
      <c r="N10" s="12" t="s">
        <v>1097</v>
      </c>
      <c r="O10" s="12" t="s">
        <v>60</v>
      </c>
      <c r="P10" s="12"/>
      <c r="Q10" s="12"/>
      <c r="R10" s="12"/>
      <c r="S10" s="12" t="s">
        <v>60</v>
      </c>
      <c r="T10" s="12"/>
      <c r="U10" s="12"/>
      <c r="V10" s="12"/>
    </row>
    <row r="11" spans="1:22" ht="65.099999999999994" customHeight="1" x14ac:dyDescent="0.25">
      <c r="A11" s="12" t="s">
        <v>1108</v>
      </c>
      <c r="B11" s="12" t="s">
        <v>53</v>
      </c>
      <c r="C11" s="12" t="s">
        <v>54</v>
      </c>
      <c r="D11" s="12" t="s">
        <v>55</v>
      </c>
      <c r="E11" s="12" t="s">
        <v>56</v>
      </c>
      <c r="F11" s="12" t="s">
        <v>1109</v>
      </c>
      <c r="G11" s="12" t="s">
        <v>915</v>
      </c>
      <c r="H11" s="12" t="s">
        <v>1095</v>
      </c>
      <c r="I11" s="12" t="s">
        <v>1096</v>
      </c>
      <c r="J11" s="45">
        <v>43466</v>
      </c>
      <c r="K11" s="45">
        <v>43447</v>
      </c>
      <c r="L11" s="45">
        <v>43448</v>
      </c>
      <c r="M11" s="12" t="s">
        <v>91</v>
      </c>
      <c r="N11" s="12" t="s">
        <v>1097</v>
      </c>
      <c r="O11" s="12" t="s">
        <v>60</v>
      </c>
      <c r="P11" s="12"/>
      <c r="Q11" s="12"/>
      <c r="R11" s="12" t="s">
        <v>1098</v>
      </c>
      <c r="S11" s="12" t="s">
        <v>60</v>
      </c>
      <c r="T11" s="12"/>
      <c r="U11" s="12"/>
      <c r="V11" s="12"/>
    </row>
    <row r="12" spans="1:22" ht="51.95" customHeight="1" x14ac:dyDescent="0.25">
      <c r="A12" s="12" t="s">
        <v>1110</v>
      </c>
      <c r="B12" s="12" t="s">
        <v>53</v>
      </c>
      <c r="C12" s="12" t="s">
        <v>54</v>
      </c>
      <c r="D12" s="12" t="s">
        <v>83</v>
      </c>
      <c r="E12" s="12" t="s">
        <v>212</v>
      </c>
      <c r="F12" s="12" t="s">
        <v>1111</v>
      </c>
      <c r="G12" s="12" t="s">
        <v>915</v>
      </c>
      <c r="H12" s="12" t="s">
        <v>1095</v>
      </c>
      <c r="I12" s="12" t="s">
        <v>1096</v>
      </c>
      <c r="J12" s="45">
        <v>43101</v>
      </c>
      <c r="K12" s="45">
        <v>43073</v>
      </c>
      <c r="L12" s="45">
        <v>43080</v>
      </c>
      <c r="M12" s="12" t="s">
        <v>91</v>
      </c>
      <c r="N12" s="12" t="s">
        <v>1097</v>
      </c>
      <c r="O12" s="12" t="s">
        <v>60</v>
      </c>
      <c r="P12" s="12"/>
      <c r="Q12" s="12"/>
      <c r="R12" s="12"/>
      <c r="S12" s="12" t="s">
        <v>60</v>
      </c>
      <c r="T12" s="12"/>
      <c r="U12" s="12"/>
      <c r="V12" s="12"/>
    </row>
    <row r="13" spans="1:22" ht="51.95" customHeight="1" x14ac:dyDescent="0.25">
      <c r="A13" s="12" t="s">
        <v>1097</v>
      </c>
      <c r="B13" s="12" t="s">
        <v>53</v>
      </c>
      <c r="C13" s="12" t="s">
        <v>54</v>
      </c>
      <c r="D13" s="12" t="s">
        <v>77</v>
      </c>
      <c r="E13" s="12" t="s">
        <v>212</v>
      </c>
      <c r="F13" s="12" t="s">
        <v>1112</v>
      </c>
      <c r="G13" s="12" t="s">
        <v>915</v>
      </c>
      <c r="H13" s="12" t="s">
        <v>1095</v>
      </c>
      <c r="I13" s="12" t="s">
        <v>1096</v>
      </c>
      <c r="J13" s="45">
        <v>42370</v>
      </c>
      <c r="K13" s="45">
        <v>42325</v>
      </c>
      <c r="L13" s="45">
        <v>42326</v>
      </c>
      <c r="M13" s="12" t="s">
        <v>91</v>
      </c>
      <c r="N13" s="12"/>
      <c r="O13" s="12" t="s">
        <v>60</v>
      </c>
      <c r="P13" s="12"/>
      <c r="Q13" s="12"/>
      <c r="R13" s="12"/>
      <c r="S13" s="12" t="s">
        <v>60</v>
      </c>
      <c r="T13" s="12"/>
      <c r="U13" s="12"/>
      <c r="V13" s="12"/>
    </row>
    <row r="14" spans="1:22" ht="39" customHeight="1" x14ac:dyDescent="0.25">
      <c r="A14" s="12" t="s">
        <v>1113</v>
      </c>
      <c r="B14" s="12" t="s">
        <v>62</v>
      </c>
      <c r="C14" s="12" t="s">
        <v>63</v>
      </c>
      <c r="D14" s="12" t="s">
        <v>220</v>
      </c>
      <c r="E14" s="12" t="s">
        <v>212</v>
      </c>
      <c r="F14" s="12" t="s">
        <v>1114</v>
      </c>
      <c r="G14" s="12" t="s">
        <v>915</v>
      </c>
      <c r="H14" s="12" t="s">
        <v>1115</v>
      </c>
      <c r="I14" s="12" t="s">
        <v>1105</v>
      </c>
      <c r="J14" s="45">
        <v>45383</v>
      </c>
      <c r="K14" s="45">
        <v>45125</v>
      </c>
      <c r="L14" s="45">
        <v>45125</v>
      </c>
      <c r="M14" s="12" t="s">
        <v>59</v>
      </c>
      <c r="N14" s="12" t="s">
        <v>1116</v>
      </c>
      <c r="O14" s="12" t="s">
        <v>60</v>
      </c>
      <c r="P14" s="12"/>
      <c r="Q14" s="12"/>
      <c r="R14" s="12"/>
      <c r="S14" s="12" t="s">
        <v>215</v>
      </c>
      <c r="T14" s="12" t="s">
        <v>1117</v>
      </c>
      <c r="U14" s="12">
        <v>22</v>
      </c>
      <c r="V14" s="12"/>
    </row>
    <row r="15" spans="1:22" ht="39" customHeight="1" x14ac:dyDescent="0.25">
      <c r="A15" s="12" t="s">
        <v>1116</v>
      </c>
      <c r="B15" s="12" t="s">
        <v>62</v>
      </c>
      <c r="C15" s="12" t="s">
        <v>63</v>
      </c>
      <c r="D15" s="12" t="s">
        <v>224</v>
      </c>
      <c r="E15" s="12" t="s">
        <v>212</v>
      </c>
      <c r="F15" s="12" t="s">
        <v>1118</v>
      </c>
      <c r="G15" s="12" t="s">
        <v>915</v>
      </c>
      <c r="H15" s="12" t="s">
        <v>1115</v>
      </c>
      <c r="I15" s="12" t="s">
        <v>1105</v>
      </c>
      <c r="J15" s="45">
        <v>44682</v>
      </c>
      <c r="K15" s="45">
        <v>44553</v>
      </c>
      <c r="L15" s="45">
        <v>44572</v>
      </c>
      <c r="M15" s="12" t="s">
        <v>91</v>
      </c>
      <c r="N15" s="12"/>
      <c r="O15" s="12" t="s">
        <v>215</v>
      </c>
      <c r="P15" s="12" t="s">
        <v>1119</v>
      </c>
      <c r="Q15" s="12" t="s">
        <v>1120</v>
      </c>
      <c r="R15" s="12"/>
      <c r="S15" s="12" t="s">
        <v>215</v>
      </c>
      <c r="T15" s="12" t="s">
        <v>1121</v>
      </c>
      <c r="U15" s="12">
        <v>25</v>
      </c>
      <c r="V15" s="12"/>
    </row>
    <row r="16" spans="1:22" ht="39" customHeight="1" x14ac:dyDescent="0.25">
      <c r="A16" s="12" t="s">
        <v>1122</v>
      </c>
      <c r="B16" s="12" t="s">
        <v>65</v>
      </c>
      <c r="C16" s="12" t="s">
        <v>66</v>
      </c>
      <c r="D16" s="12" t="s">
        <v>220</v>
      </c>
      <c r="E16" s="12" t="s">
        <v>212</v>
      </c>
      <c r="F16" s="12" t="s">
        <v>1123</v>
      </c>
      <c r="G16" s="12" t="s">
        <v>915</v>
      </c>
      <c r="H16" s="12" t="s">
        <v>1124</v>
      </c>
      <c r="I16" s="12" t="s">
        <v>1105</v>
      </c>
      <c r="J16" s="45">
        <v>45267</v>
      </c>
      <c r="K16" s="45">
        <v>45267</v>
      </c>
      <c r="L16" s="45">
        <v>45268</v>
      </c>
      <c r="M16" s="12" t="s">
        <v>59</v>
      </c>
      <c r="N16" s="12" t="s">
        <v>1125</v>
      </c>
      <c r="O16" s="12" t="s">
        <v>60</v>
      </c>
      <c r="P16" s="12"/>
      <c r="Q16" s="12"/>
      <c r="R16" s="12" t="s">
        <v>1126</v>
      </c>
      <c r="S16" s="12" t="s">
        <v>60</v>
      </c>
      <c r="T16" s="12"/>
      <c r="U16" s="12"/>
      <c r="V16" s="12"/>
    </row>
    <row r="17" spans="1:22" ht="39" customHeight="1" x14ac:dyDescent="0.25">
      <c r="A17" s="12" t="s">
        <v>1127</v>
      </c>
      <c r="B17" s="12" t="s">
        <v>65</v>
      </c>
      <c r="C17" s="12" t="s">
        <v>66</v>
      </c>
      <c r="D17" s="12" t="s">
        <v>228</v>
      </c>
      <c r="E17" s="12" t="s">
        <v>212</v>
      </c>
      <c r="F17" s="12" t="s">
        <v>1123</v>
      </c>
      <c r="G17" s="12" t="s">
        <v>915</v>
      </c>
      <c r="H17" s="12" t="s">
        <v>1124</v>
      </c>
      <c r="I17" s="12" t="s">
        <v>1105</v>
      </c>
      <c r="J17" s="45">
        <v>44533</v>
      </c>
      <c r="K17" s="45">
        <v>44533</v>
      </c>
      <c r="L17" s="45">
        <v>44533</v>
      </c>
      <c r="M17" s="12" t="s">
        <v>91</v>
      </c>
      <c r="N17" s="12" t="s">
        <v>1125</v>
      </c>
      <c r="O17" s="12" t="s">
        <v>60</v>
      </c>
      <c r="P17" s="12"/>
      <c r="Q17" s="12"/>
      <c r="R17" s="12" t="s">
        <v>1128</v>
      </c>
      <c r="S17" s="12" t="s">
        <v>60</v>
      </c>
      <c r="T17" s="12"/>
      <c r="U17" s="12"/>
      <c r="V17" s="12"/>
    </row>
    <row r="18" spans="1:22" ht="39" customHeight="1" x14ac:dyDescent="0.25">
      <c r="A18" s="12" t="s">
        <v>1129</v>
      </c>
      <c r="B18" s="12" t="s">
        <v>65</v>
      </c>
      <c r="C18" s="12" t="s">
        <v>66</v>
      </c>
      <c r="D18" s="12" t="s">
        <v>236</v>
      </c>
      <c r="E18" s="12" t="s">
        <v>56</v>
      </c>
      <c r="F18" s="12" t="s">
        <v>1130</v>
      </c>
      <c r="G18" s="12" t="s">
        <v>915</v>
      </c>
      <c r="H18" s="12" t="s">
        <v>1124</v>
      </c>
      <c r="I18" s="12" t="s">
        <v>1105</v>
      </c>
      <c r="J18" s="45">
        <v>43753</v>
      </c>
      <c r="K18" s="45">
        <v>43753</v>
      </c>
      <c r="L18" s="45">
        <v>43754</v>
      </c>
      <c r="M18" s="12" t="s">
        <v>91</v>
      </c>
      <c r="N18" s="12" t="s">
        <v>1125</v>
      </c>
      <c r="O18" s="12" t="s">
        <v>60</v>
      </c>
      <c r="P18" s="12"/>
      <c r="Q18" s="12"/>
      <c r="R18" s="12" t="s">
        <v>423</v>
      </c>
      <c r="S18" s="12" t="s">
        <v>60</v>
      </c>
      <c r="T18" s="12"/>
      <c r="U18" s="12"/>
      <c r="V18" s="12"/>
    </row>
    <row r="19" spans="1:22" ht="104.1" customHeight="1" x14ac:dyDescent="0.25">
      <c r="A19" s="12" t="s">
        <v>1131</v>
      </c>
      <c r="B19" s="12" t="s">
        <v>65</v>
      </c>
      <c r="C19" s="12" t="s">
        <v>66</v>
      </c>
      <c r="D19" s="12" t="s">
        <v>83</v>
      </c>
      <c r="E19" s="12" t="s">
        <v>56</v>
      </c>
      <c r="F19" s="12" t="s">
        <v>1130</v>
      </c>
      <c r="G19" s="12" t="s">
        <v>915</v>
      </c>
      <c r="H19" s="12" t="s">
        <v>1124</v>
      </c>
      <c r="I19" s="12" t="s">
        <v>1105</v>
      </c>
      <c r="J19" s="45">
        <v>43039</v>
      </c>
      <c r="K19" s="45">
        <v>43039</v>
      </c>
      <c r="L19" s="45">
        <v>43052</v>
      </c>
      <c r="M19" s="12" t="s">
        <v>91</v>
      </c>
      <c r="N19" s="12" t="s">
        <v>1125</v>
      </c>
      <c r="O19" s="12" t="s">
        <v>60</v>
      </c>
      <c r="P19" s="12"/>
      <c r="Q19" s="12"/>
      <c r="R19" s="12" t="s">
        <v>1132</v>
      </c>
      <c r="S19" s="12" t="s">
        <v>60</v>
      </c>
      <c r="T19" s="12"/>
      <c r="U19" s="12"/>
      <c r="V19" s="12"/>
    </row>
    <row r="20" spans="1:22" ht="39" customHeight="1" x14ac:dyDescent="0.25">
      <c r="A20" s="12" t="s">
        <v>1125</v>
      </c>
      <c r="B20" s="12" t="s">
        <v>65</v>
      </c>
      <c r="C20" s="12" t="s">
        <v>66</v>
      </c>
      <c r="D20" s="12" t="s">
        <v>67</v>
      </c>
      <c r="E20" s="12" t="s">
        <v>56</v>
      </c>
      <c r="F20" s="12" t="s">
        <v>1130</v>
      </c>
      <c r="G20" s="12" t="s">
        <v>915</v>
      </c>
      <c r="H20" s="12" t="s">
        <v>1124</v>
      </c>
      <c r="I20" s="12" t="s">
        <v>1105</v>
      </c>
      <c r="J20" s="45">
        <v>41913</v>
      </c>
      <c r="K20" s="45">
        <v>41788</v>
      </c>
      <c r="L20" s="45">
        <v>41954</v>
      </c>
      <c r="M20" s="12" t="s">
        <v>91</v>
      </c>
      <c r="N20" s="12"/>
      <c r="O20" s="12" t="s">
        <v>60</v>
      </c>
      <c r="P20" s="12"/>
      <c r="Q20" s="12"/>
      <c r="R20" s="12" t="s">
        <v>1133</v>
      </c>
      <c r="S20" s="12" t="s">
        <v>60</v>
      </c>
      <c r="T20" s="12"/>
      <c r="U20" s="12"/>
      <c r="V20" s="12"/>
    </row>
    <row r="21" spans="1:22" ht="39" customHeight="1" x14ac:dyDescent="0.25">
      <c r="A21" s="12" t="s">
        <v>1134</v>
      </c>
      <c r="B21" s="12" t="s">
        <v>71</v>
      </c>
      <c r="C21" s="12" t="s">
        <v>72</v>
      </c>
      <c r="D21" s="12" t="s">
        <v>232</v>
      </c>
      <c r="E21" s="12" t="s">
        <v>56</v>
      </c>
      <c r="F21" s="12" t="s">
        <v>1135</v>
      </c>
      <c r="G21" s="12" t="s">
        <v>915</v>
      </c>
      <c r="H21" s="12" t="s">
        <v>1095</v>
      </c>
      <c r="I21" s="12" t="s">
        <v>1096</v>
      </c>
      <c r="J21" s="45">
        <v>44194</v>
      </c>
      <c r="K21" s="45">
        <v>44181</v>
      </c>
      <c r="L21" s="45">
        <v>44154</v>
      </c>
      <c r="M21" s="12" t="s">
        <v>91</v>
      </c>
      <c r="N21" s="12" t="s">
        <v>1136</v>
      </c>
      <c r="O21" s="12" t="s">
        <v>60</v>
      </c>
      <c r="P21" s="12"/>
      <c r="Q21" s="12"/>
      <c r="R21" s="12" t="s">
        <v>1137</v>
      </c>
      <c r="S21" s="12" t="s">
        <v>60</v>
      </c>
      <c r="T21" s="12"/>
      <c r="U21" s="12"/>
      <c r="V21" s="12"/>
    </row>
    <row r="22" spans="1:22" ht="39" customHeight="1" x14ac:dyDescent="0.25">
      <c r="A22" s="12" t="s">
        <v>1138</v>
      </c>
      <c r="B22" s="12" t="s">
        <v>71</v>
      </c>
      <c r="C22" s="12" t="s">
        <v>72</v>
      </c>
      <c r="D22" s="12" t="s">
        <v>224</v>
      </c>
      <c r="E22" s="12" t="s">
        <v>212</v>
      </c>
      <c r="F22" s="12" t="s">
        <v>1139</v>
      </c>
      <c r="G22" s="12" t="s">
        <v>915</v>
      </c>
      <c r="H22" s="12" t="s">
        <v>1095</v>
      </c>
      <c r="I22" s="12" t="s">
        <v>1096</v>
      </c>
      <c r="J22" s="45">
        <v>44918</v>
      </c>
      <c r="K22" s="45">
        <v>44918</v>
      </c>
      <c r="L22" s="45">
        <v>44918</v>
      </c>
      <c r="M22" s="12" t="s">
        <v>91</v>
      </c>
      <c r="N22" s="12" t="s">
        <v>1136</v>
      </c>
      <c r="O22" s="12" t="s">
        <v>60</v>
      </c>
      <c r="P22" s="12"/>
      <c r="Q22" s="12"/>
      <c r="R22" s="12" t="s">
        <v>1140</v>
      </c>
      <c r="S22" s="12" t="s">
        <v>60</v>
      </c>
      <c r="T22" s="12"/>
      <c r="U22" s="12"/>
      <c r="V22" s="12"/>
    </row>
    <row r="23" spans="1:22" ht="39" customHeight="1" x14ac:dyDescent="0.25">
      <c r="A23" s="12" t="s">
        <v>1141</v>
      </c>
      <c r="B23" s="12" t="s">
        <v>71</v>
      </c>
      <c r="C23" s="12" t="s">
        <v>72</v>
      </c>
      <c r="D23" s="12" t="s">
        <v>1142</v>
      </c>
      <c r="E23" s="12" t="s">
        <v>56</v>
      </c>
      <c r="F23" s="12" t="s">
        <v>1139</v>
      </c>
      <c r="G23" s="12" t="s">
        <v>915</v>
      </c>
      <c r="H23" s="12" t="s">
        <v>1095</v>
      </c>
      <c r="I23" s="12" t="s">
        <v>1096</v>
      </c>
      <c r="J23" s="45">
        <v>45658</v>
      </c>
      <c r="K23" s="45">
        <v>45656</v>
      </c>
      <c r="L23" s="45">
        <v>45692</v>
      </c>
      <c r="M23" s="12" t="s">
        <v>59</v>
      </c>
      <c r="N23" s="12" t="s">
        <v>1136</v>
      </c>
      <c r="O23" s="12" t="s">
        <v>60</v>
      </c>
      <c r="P23" s="12"/>
      <c r="Q23" s="12"/>
      <c r="R23" s="12"/>
      <c r="S23" s="12" t="s">
        <v>60</v>
      </c>
      <c r="T23" s="12"/>
      <c r="U23" s="12"/>
      <c r="V23" s="12"/>
    </row>
    <row r="24" spans="1:22" ht="26.1" customHeight="1" x14ac:dyDescent="0.25">
      <c r="A24" s="12" t="s">
        <v>1136</v>
      </c>
      <c r="B24" s="12" t="s">
        <v>71</v>
      </c>
      <c r="C24" s="12" t="s">
        <v>72</v>
      </c>
      <c r="D24" s="12" t="s">
        <v>67</v>
      </c>
      <c r="E24" s="12" t="s">
        <v>56</v>
      </c>
      <c r="F24" s="12" t="s">
        <v>1143</v>
      </c>
      <c r="G24" s="12" t="s">
        <v>915</v>
      </c>
      <c r="H24" s="12" t="s">
        <v>1144</v>
      </c>
      <c r="I24" s="12" t="s">
        <v>1096</v>
      </c>
      <c r="J24" s="45">
        <v>41778</v>
      </c>
      <c r="K24" s="45">
        <v>41771</v>
      </c>
      <c r="L24" s="45">
        <v>41745</v>
      </c>
      <c r="M24" s="12" t="s">
        <v>91</v>
      </c>
      <c r="N24" s="12"/>
      <c r="O24" s="12" t="s">
        <v>215</v>
      </c>
      <c r="P24" s="12" t="s">
        <v>1145</v>
      </c>
      <c r="Q24" s="12" t="s">
        <v>1146</v>
      </c>
      <c r="R24" s="12" t="s">
        <v>1147</v>
      </c>
      <c r="S24" s="12" t="s">
        <v>60</v>
      </c>
      <c r="T24" s="12"/>
      <c r="U24" s="12"/>
      <c r="V24" s="12"/>
    </row>
    <row r="25" spans="1:22" ht="26.1" customHeight="1" x14ac:dyDescent="0.25">
      <c r="A25" s="12" t="s">
        <v>1148</v>
      </c>
      <c r="B25" s="12" t="s">
        <v>71</v>
      </c>
      <c r="C25" s="12" t="s">
        <v>72</v>
      </c>
      <c r="D25" s="12" t="s">
        <v>252</v>
      </c>
      <c r="E25" s="12" t="s">
        <v>56</v>
      </c>
      <c r="F25" s="12" t="s">
        <v>1139</v>
      </c>
      <c r="G25" s="12" t="s">
        <v>915</v>
      </c>
      <c r="H25" s="12" t="s">
        <v>1095</v>
      </c>
      <c r="I25" s="12" t="s">
        <v>1096</v>
      </c>
      <c r="J25" s="45">
        <v>45658</v>
      </c>
      <c r="K25" s="45">
        <v>45656</v>
      </c>
      <c r="L25" s="45">
        <v>45692</v>
      </c>
      <c r="M25" s="12" t="s">
        <v>59</v>
      </c>
      <c r="N25" s="12"/>
      <c r="O25" s="12" t="s">
        <v>60</v>
      </c>
      <c r="P25" s="12"/>
      <c r="Q25" s="12"/>
      <c r="R25" s="12" t="s">
        <v>1140</v>
      </c>
      <c r="S25" s="12" t="s">
        <v>60</v>
      </c>
      <c r="T25" s="12"/>
      <c r="U25" s="12"/>
      <c r="V25" s="12"/>
    </row>
    <row r="26" spans="1:22" ht="26.1" customHeight="1" x14ac:dyDescent="0.25">
      <c r="A26" s="12" t="s">
        <v>1149</v>
      </c>
      <c r="B26" s="12" t="s">
        <v>71</v>
      </c>
      <c r="C26" s="12" t="s">
        <v>72</v>
      </c>
      <c r="D26" s="12" t="s">
        <v>83</v>
      </c>
      <c r="E26" s="12" t="s">
        <v>56</v>
      </c>
      <c r="F26" s="12" t="s">
        <v>1150</v>
      </c>
      <c r="G26" s="12" t="s">
        <v>915</v>
      </c>
      <c r="H26" s="12" t="s">
        <v>1095</v>
      </c>
      <c r="I26" s="12" t="s">
        <v>1096</v>
      </c>
      <c r="J26" s="45">
        <v>42964</v>
      </c>
      <c r="K26" s="45">
        <v>42950</v>
      </c>
      <c r="L26" s="45">
        <v>43742</v>
      </c>
      <c r="M26" s="12" t="s">
        <v>91</v>
      </c>
      <c r="N26" s="12"/>
      <c r="O26" s="12" t="s">
        <v>60</v>
      </c>
      <c r="P26" s="12"/>
      <c r="Q26" s="12"/>
      <c r="R26" s="12" t="s">
        <v>1151</v>
      </c>
      <c r="S26" s="12" t="s">
        <v>60</v>
      </c>
      <c r="T26" s="12"/>
      <c r="U26" s="12"/>
      <c r="V26" s="12"/>
    </row>
    <row r="27" spans="1:22" ht="51.95" customHeight="1" x14ac:dyDescent="0.25">
      <c r="A27" s="12" t="s">
        <v>1152</v>
      </c>
      <c r="B27" s="12" t="s">
        <v>71</v>
      </c>
      <c r="C27" s="12" t="s">
        <v>72</v>
      </c>
      <c r="D27" s="12" t="s">
        <v>236</v>
      </c>
      <c r="E27" s="12" t="s">
        <v>56</v>
      </c>
      <c r="F27" s="12" t="s">
        <v>1153</v>
      </c>
      <c r="G27" s="12" t="s">
        <v>915</v>
      </c>
      <c r="H27" s="12" t="s">
        <v>1095</v>
      </c>
      <c r="I27" s="12" t="s">
        <v>1096</v>
      </c>
      <c r="J27" s="45">
        <v>43714</v>
      </c>
      <c r="K27" s="45">
        <v>43710</v>
      </c>
      <c r="L27" s="45">
        <v>43738</v>
      </c>
      <c r="M27" s="12" t="s">
        <v>91</v>
      </c>
      <c r="N27" s="12" t="s">
        <v>1136</v>
      </c>
      <c r="O27" s="12" t="s">
        <v>60</v>
      </c>
      <c r="P27" s="12"/>
      <c r="Q27" s="12"/>
      <c r="R27" s="12" t="s">
        <v>1154</v>
      </c>
      <c r="S27" s="12" t="s">
        <v>60</v>
      </c>
      <c r="T27" s="12"/>
      <c r="U27" s="12"/>
      <c r="V27" s="12"/>
    </row>
    <row r="28" spans="1:22" ht="39" customHeight="1" x14ac:dyDescent="0.25">
      <c r="A28" s="12" t="s">
        <v>1155</v>
      </c>
      <c r="B28" s="12" t="s">
        <v>94</v>
      </c>
      <c r="C28" s="12" t="s">
        <v>95</v>
      </c>
      <c r="D28" s="12" t="s">
        <v>228</v>
      </c>
      <c r="E28" s="12" t="s">
        <v>212</v>
      </c>
      <c r="F28" s="12" t="s">
        <v>1156</v>
      </c>
      <c r="G28" s="12" t="s">
        <v>915</v>
      </c>
      <c r="H28" s="12" t="s">
        <v>1157</v>
      </c>
      <c r="I28" s="12" t="s">
        <v>1157</v>
      </c>
      <c r="J28" s="45">
        <v>44470</v>
      </c>
      <c r="K28" s="45">
        <v>44470</v>
      </c>
      <c r="L28" s="45">
        <v>44470</v>
      </c>
      <c r="M28" s="12" t="s">
        <v>91</v>
      </c>
      <c r="N28" s="12" t="s">
        <v>1158</v>
      </c>
      <c r="O28" s="12" t="s">
        <v>60</v>
      </c>
      <c r="P28" s="12"/>
      <c r="Q28" s="12"/>
      <c r="R28" s="12"/>
      <c r="S28" s="12" t="s">
        <v>60</v>
      </c>
      <c r="T28" s="12"/>
      <c r="U28" s="12"/>
      <c r="V28" s="12"/>
    </row>
    <row r="29" spans="1:22" ht="39" customHeight="1" x14ac:dyDescent="0.25">
      <c r="A29" s="12" t="s">
        <v>1159</v>
      </c>
      <c r="B29" s="12" t="s">
        <v>94</v>
      </c>
      <c r="C29" s="12" t="s">
        <v>95</v>
      </c>
      <c r="D29" s="12" t="s">
        <v>232</v>
      </c>
      <c r="E29" s="12" t="s">
        <v>212</v>
      </c>
      <c r="F29" s="12" t="s">
        <v>1160</v>
      </c>
      <c r="G29" s="12" t="s">
        <v>915</v>
      </c>
      <c r="H29" s="12" t="s">
        <v>1095</v>
      </c>
      <c r="I29" s="12" t="s">
        <v>1096</v>
      </c>
      <c r="J29" s="45">
        <v>44197</v>
      </c>
      <c r="K29" s="45">
        <v>44000</v>
      </c>
      <c r="L29" s="45">
        <v>44166</v>
      </c>
      <c r="M29" s="12" t="s">
        <v>91</v>
      </c>
      <c r="N29" s="12" t="s">
        <v>1158</v>
      </c>
      <c r="O29" s="12" t="s">
        <v>60</v>
      </c>
      <c r="P29" s="12"/>
      <c r="Q29" s="12"/>
      <c r="R29" s="12"/>
      <c r="S29" s="12" t="s">
        <v>60</v>
      </c>
      <c r="T29" s="12"/>
      <c r="U29" s="12"/>
      <c r="V29" s="12"/>
    </row>
    <row r="30" spans="1:22" ht="39" customHeight="1" x14ac:dyDescent="0.25">
      <c r="A30" s="12" t="s">
        <v>1161</v>
      </c>
      <c r="B30" s="12" t="s">
        <v>94</v>
      </c>
      <c r="C30" s="12" t="s">
        <v>95</v>
      </c>
      <c r="D30" s="12" t="s">
        <v>55</v>
      </c>
      <c r="E30" s="12" t="s">
        <v>212</v>
      </c>
      <c r="F30" s="12" t="s">
        <v>1162</v>
      </c>
      <c r="G30" s="12" t="s">
        <v>915</v>
      </c>
      <c r="H30" s="12" t="s">
        <v>1095</v>
      </c>
      <c r="I30" s="12" t="s">
        <v>1096</v>
      </c>
      <c r="J30" s="45">
        <v>43466</v>
      </c>
      <c r="K30" s="45">
        <v>43244</v>
      </c>
      <c r="L30" s="45">
        <v>43312</v>
      </c>
      <c r="M30" s="12" t="s">
        <v>91</v>
      </c>
      <c r="N30" s="12" t="s">
        <v>1158</v>
      </c>
      <c r="O30" s="12" t="s">
        <v>60</v>
      </c>
      <c r="P30" s="12"/>
      <c r="Q30" s="12"/>
      <c r="R30" s="12"/>
      <c r="S30" s="12" t="s">
        <v>60</v>
      </c>
      <c r="T30" s="12"/>
      <c r="U30" s="12"/>
      <c r="V30" s="12"/>
    </row>
    <row r="31" spans="1:22" ht="90.95" customHeight="1" x14ac:dyDescent="0.25">
      <c r="A31" s="12" t="s">
        <v>1163</v>
      </c>
      <c r="B31" s="12" t="s">
        <v>94</v>
      </c>
      <c r="C31" s="12" t="s">
        <v>95</v>
      </c>
      <c r="D31" s="12" t="s">
        <v>126</v>
      </c>
      <c r="E31" s="12" t="s">
        <v>212</v>
      </c>
      <c r="F31" s="12" t="s">
        <v>1164</v>
      </c>
      <c r="G31" s="12" t="s">
        <v>915</v>
      </c>
      <c r="H31" s="12" t="s">
        <v>1095</v>
      </c>
      <c r="I31" s="12" t="s">
        <v>1096</v>
      </c>
      <c r="J31" s="45">
        <v>42736</v>
      </c>
      <c r="K31" s="45">
        <v>42606</v>
      </c>
      <c r="L31" s="45">
        <v>42606</v>
      </c>
      <c r="M31" s="12" t="s">
        <v>91</v>
      </c>
      <c r="N31" s="12" t="s">
        <v>1158</v>
      </c>
      <c r="O31" s="12" t="s">
        <v>60</v>
      </c>
      <c r="P31" s="12"/>
      <c r="Q31" s="12"/>
      <c r="R31" s="12" t="s">
        <v>1165</v>
      </c>
      <c r="S31" s="12" t="s">
        <v>60</v>
      </c>
      <c r="T31" s="12"/>
      <c r="U31" s="12"/>
      <c r="V31" s="12"/>
    </row>
    <row r="32" spans="1:22" ht="78" customHeight="1" x14ac:dyDescent="0.25">
      <c r="A32" s="12" t="s">
        <v>1166</v>
      </c>
      <c r="B32" s="12" t="s">
        <v>94</v>
      </c>
      <c r="C32" s="12" t="s">
        <v>95</v>
      </c>
      <c r="D32" s="12" t="s">
        <v>252</v>
      </c>
      <c r="E32" s="12" t="s">
        <v>1167</v>
      </c>
      <c r="F32" s="12" t="s">
        <v>1168</v>
      </c>
      <c r="G32" s="12" t="s">
        <v>915</v>
      </c>
      <c r="H32" s="12" t="s">
        <v>1124</v>
      </c>
      <c r="I32" s="12" t="s">
        <v>1105</v>
      </c>
      <c r="J32" s="45">
        <v>45658</v>
      </c>
      <c r="K32" s="45">
        <v>45449</v>
      </c>
      <c r="L32" s="45">
        <v>45471</v>
      </c>
      <c r="M32" s="12" t="s">
        <v>59</v>
      </c>
      <c r="N32" s="12"/>
      <c r="O32" s="12" t="s">
        <v>60</v>
      </c>
      <c r="P32" s="12"/>
      <c r="Q32" s="12"/>
      <c r="R32" s="12" t="s">
        <v>1169</v>
      </c>
      <c r="S32" s="12" t="s">
        <v>60</v>
      </c>
      <c r="T32" s="12"/>
      <c r="U32" s="12"/>
      <c r="V32" s="12"/>
    </row>
    <row r="33" spans="1:22" ht="39" customHeight="1" x14ac:dyDescent="0.25">
      <c r="A33" s="12" t="s">
        <v>1158</v>
      </c>
      <c r="B33" s="12" t="s">
        <v>94</v>
      </c>
      <c r="C33" s="12" t="s">
        <v>95</v>
      </c>
      <c r="D33" s="12" t="s">
        <v>67</v>
      </c>
      <c r="E33" s="12" t="s">
        <v>212</v>
      </c>
      <c r="F33" s="12" t="s">
        <v>1170</v>
      </c>
      <c r="G33" s="12" t="s">
        <v>915</v>
      </c>
      <c r="H33" s="12" t="s">
        <v>1095</v>
      </c>
      <c r="I33" s="12" t="s">
        <v>1096</v>
      </c>
      <c r="J33" s="45">
        <v>41944</v>
      </c>
      <c r="K33" s="45"/>
      <c r="L33" s="45">
        <v>41912</v>
      </c>
      <c r="M33" s="12" t="s">
        <v>91</v>
      </c>
      <c r="N33" s="12"/>
      <c r="O33" s="12" t="s">
        <v>60</v>
      </c>
      <c r="P33" s="12"/>
      <c r="Q33" s="12"/>
      <c r="R33" s="12"/>
      <c r="S33" s="12" t="s">
        <v>60</v>
      </c>
      <c r="T33" s="12"/>
      <c r="U33" s="12"/>
      <c r="V33" s="12"/>
    </row>
    <row r="34" spans="1:22" ht="26.1" customHeight="1" x14ac:dyDescent="0.25">
      <c r="A34" s="12" t="s">
        <v>1171</v>
      </c>
      <c r="B34" s="12" t="s">
        <v>97</v>
      </c>
      <c r="C34" s="12" t="s">
        <v>1172</v>
      </c>
      <c r="D34" s="12" t="s">
        <v>220</v>
      </c>
      <c r="E34" s="12" t="s">
        <v>56</v>
      </c>
      <c r="F34" s="12" t="s">
        <v>1173</v>
      </c>
      <c r="G34" s="12" t="s">
        <v>915</v>
      </c>
      <c r="H34" s="12"/>
      <c r="I34" s="12" t="s">
        <v>1105</v>
      </c>
      <c r="J34" s="45">
        <v>45473</v>
      </c>
      <c r="K34" s="45">
        <v>45408</v>
      </c>
      <c r="L34" s="45">
        <v>45453</v>
      </c>
      <c r="M34" s="12" t="s">
        <v>59</v>
      </c>
      <c r="N34" s="12"/>
      <c r="O34" s="12" t="s">
        <v>60</v>
      </c>
      <c r="P34" s="12"/>
      <c r="Q34" s="12"/>
      <c r="R34" s="12" t="s">
        <v>1174</v>
      </c>
      <c r="S34" s="12" t="s">
        <v>60</v>
      </c>
      <c r="T34" s="12"/>
      <c r="U34" s="12">
        <v>25</v>
      </c>
      <c r="V34" s="12"/>
    </row>
    <row r="35" spans="1:22" ht="26.1" customHeight="1" x14ac:dyDescent="0.25">
      <c r="A35" s="12" t="s">
        <v>1175</v>
      </c>
      <c r="B35" s="12" t="s">
        <v>97</v>
      </c>
      <c r="C35" s="12" t="s">
        <v>98</v>
      </c>
      <c r="D35" s="12" t="s">
        <v>83</v>
      </c>
      <c r="E35" s="12" t="s">
        <v>56</v>
      </c>
      <c r="F35" s="12" t="s">
        <v>1176</v>
      </c>
      <c r="G35" s="12" t="s">
        <v>915</v>
      </c>
      <c r="H35" s="12" t="s">
        <v>1177</v>
      </c>
      <c r="I35" s="12" t="s">
        <v>1105</v>
      </c>
      <c r="J35" s="45">
        <v>43101</v>
      </c>
      <c r="K35" s="45">
        <v>42857</v>
      </c>
      <c r="L35" s="45">
        <v>42860</v>
      </c>
      <c r="M35" s="12" t="s">
        <v>91</v>
      </c>
      <c r="N35" s="12"/>
      <c r="O35" s="12" t="s">
        <v>60</v>
      </c>
      <c r="P35" s="12"/>
      <c r="Q35" s="12"/>
      <c r="R35" s="12"/>
      <c r="S35" s="12" t="s">
        <v>60</v>
      </c>
      <c r="T35" s="12"/>
      <c r="U35" s="12"/>
      <c r="V35" s="12"/>
    </row>
    <row r="36" spans="1:22" ht="26.1" customHeight="1" x14ac:dyDescent="0.25">
      <c r="A36" s="12" t="s">
        <v>1178</v>
      </c>
      <c r="B36" s="12" t="s">
        <v>97</v>
      </c>
      <c r="C36" s="12" t="s">
        <v>1172</v>
      </c>
      <c r="D36" s="12" t="s">
        <v>55</v>
      </c>
      <c r="E36" s="12" t="s">
        <v>56</v>
      </c>
      <c r="F36" s="12" t="s">
        <v>1179</v>
      </c>
      <c r="G36" s="12" t="s">
        <v>915</v>
      </c>
      <c r="H36" s="12" t="s">
        <v>1177</v>
      </c>
      <c r="I36" s="12" t="s">
        <v>1105</v>
      </c>
      <c r="J36" s="45">
        <v>43466</v>
      </c>
      <c r="K36" s="45">
        <v>43276</v>
      </c>
      <c r="L36" s="45">
        <v>43508</v>
      </c>
      <c r="M36" s="12" t="s">
        <v>59</v>
      </c>
      <c r="N36" s="12" t="s">
        <v>1175</v>
      </c>
      <c r="O36" s="12" t="s">
        <v>60</v>
      </c>
      <c r="P36" s="12"/>
      <c r="Q36" s="12"/>
      <c r="R36" s="12"/>
      <c r="S36" s="12" t="s">
        <v>60</v>
      </c>
      <c r="T36" s="12"/>
      <c r="U36" s="12">
        <v>1</v>
      </c>
      <c r="V36" s="12"/>
    </row>
    <row r="37" spans="1:22" ht="26.1" customHeight="1" x14ac:dyDescent="0.25">
      <c r="A37" s="12" t="s">
        <v>1180</v>
      </c>
      <c r="B37" s="12" t="s">
        <v>97</v>
      </c>
      <c r="C37" s="12" t="s">
        <v>98</v>
      </c>
      <c r="D37" s="12" t="s">
        <v>67</v>
      </c>
      <c r="E37" s="12" t="s">
        <v>212</v>
      </c>
      <c r="F37" s="12" t="s">
        <v>1181</v>
      </c>
      <c r="G37" s="12" t="s">
        <v>915</v>
      </c>
      <c r="H37" s="12" t="s">
        <v>1095</v>
      </c>
      <c r="I37" s="12" t="s">
        <v>1096</v>
      </c>
      <c r="J37" s="45">
        <v>42005</v>
      </c>
      <c r="K37" s="45"/>
      <c r="L37" s="45">
        <v>41936</v>
      </c>
      <c r="M37" s="12" t="s">
        <v>91</v>
      </c>
      <c r="N37" s="12"/>
      <c r="O37" s="12" t="s">
        <v>60</v>
      </c>
      <c r="P37" s="12"/>
      <c r="Q37" s="12"/>
      <c r="R37" s="12"/>
      <c r="S37" s="12" t="s">
        <v>60</v>
      </c>
      <c r="T37" s="12"/>
      <c r="U37" s="12"/>
      <c r="V37" s="12"/>
    </row>
    <row r="38" spans="1:22" ht="65.099999999999994" customHeight="1" x14ac:dyDescent="0.25">
      <c r="A38" s="12" t="s">
        <v>1182</v>
      </c>
      <c r="B38" s="12" t="s">
        <v>97</v>
      </c>
      <c r="C38" s="12" t="s">
        <v>1172</v>
      </c>
      <c r="D38" s="12" t="s">
        <v>55</v>
      </c>
      <c r="E38" s="12" t="s">
        <v>212</v>
      </c>
      <c r="F38" s="12" t="s">
        <v>1183</v>
      </c>
      <c r="G38" s="12" t="s">
        <v>915</v>
      </c>
      <c r="H38" s="12" t="s">
        <v>1095</v>
      </c>
      <c r="I38" s="12" t="s">
        <v>1096</v>
      </c>
      <c r="J38" s="45">
        <v>43466</v>
      </c>
      <c r="K38" s="45">
        <v>43452</v>
      </c>
      <c r="L38" s="45">
        <v>43474</v>
      </c>
      <c r="M38" s="12" t="s">
        <v>59</v>
      </c>
      <c r="N38" s="12" t="s">
        <v>1180</v>
      </c>
      <c r="O38" s="12" t="s">
        <v>60</v>
      </c>
      <c r="P38" s="12"/>
      <c r="Q38" s="12"/>
      <c r="R38" s="12"/>
      <c r="S38" s="12" t="s">
        <v>60</v>
      </c>
      <c r="T38" s="12"/>
      <c r="U38" s="12"/>
      <c r="V38" s="12"/>
    </row>
    <row r="39" spans="1:22" ht="78" customHeight="1" x14ac:dyDescent="0.25">
      <c r="A39" s="12" t="s">
        <v>1184</v>
      </c>
      <c r="B39" s="12" t="s">
        <v>97</v>
      </c>
      <c r="C39" s="12" t="s">
        <v>98</v>
      </c>
      <c r="D39" s="12" t="s">
        <v>126</v>
      </c>
      <c r="E39" s="12" t="s">
        <v>212</v>
      </c>
      <c r="F39" s="12" t="s">
        <v>1185</v>
      </c>
      <c r="G39" s="12" t="s">
        <v>915</v>
      </c>
      <c r="H39" s="12" t="s">
        <v>1095</v>
      </c>
      <c r="I39" s="12" t="s">
        <v>1096</v>
      </c>
      <c r="J39" s="45">
        <v>42737</v>
      </c>
      <c r="K39" s="45">
        <v>42737</v>
      </c>
      <c r="L39" s="45">
        <v>42724</v>
      </c>
      <c r="M39" s="12" t="s">
        <v>59</v>
      </c>
      <c r="N39" s="12" t="s">
        <v>1180</v>
      </c>
      <c r="O39" s="12" t="s">
        <v>60</v>
      </c>
      <c r="P39" s="12"/>
      <c r="Q39" s="12"/>
      <c r="R39" s="12"/>
      <c r="S39" s="12" t="s">
        <v>60</v>
      </c>
      <c r="T39" s="12"/>
      <c r="U39" s="12"/>
      <c r="V39" s="12"/>
    </row>
    <row r="40" spans="1:22" ht="65.099999999999994" customHeight="1" x14ac:dyDescent="0.25">
      <c r="A40" s="12" t="s">
        <v>1186</v>
      </c>
      <c r="B40" s="12" t="s">
        <v>97</v>
      </c>
      <c r="C40" s="12" t="s">
        <v>98</v>
      </c>
      <c r="D40" s="12" t="s">
        <v>77</v>
      </c>
      <c r="E40" s="12" t="s">
        <v>212</v>
      </c>
      <c r="F40" s="12" t="s">
        <v>1181</v>
      </c>
      <c r="G40" s="12" t="s">
        <v>915</v>
      </c>
      <c r="H40" s="12" t="s">
        <v>1095</v>
      </c>
      <c r="I40" s="12" t="s">
        <v>1096</v>
      </c>
      <c r="J40" s="45">
        <v>42370</v>
      </c>
      <c r="K40" s="45"/>
      <c r="L40" s="45">
        <v>42248</v>
      </c>
      <c r="M40" s="12" t="s">
        <v>91</v>
      </c>
      <c r="N40" s="12" t="s">
        <v>1180</v>
      </c>
      <c r="O40" s="12" t="s">
        <v>60</v>
      </c>
      <c r="P40" s="12"/>
      <c r="Q40" s="12"/>
      <c r="R40" s="12" t="s">
        <v>1187</v>
      </c>
      <c r="S40" s="12" t="s">
        <v>60</v>
      </c>
      <c r="T40" s="12"/>
      <c r="U40" s="12"/>
      <c r="V40" s="12"/>
    </row>
    <row r="41" spans="1:22" ht="90.95" customHeight="1" x14ac:dyDescent="0.25">
      <c r="A41" s="12" t="s">
        <v>1188</v>
      </c>
      <c r="B41" s="12" t="s">
        <v>103</v>
      </c>
      <c r="C41" s="12" t="s">
        <v>104</v>
      </c>
      <c r="D41" s="12" t="s">
        <v>67</v>
      </c>
      <c r="E41" s="12" t="s">
        <v>56</v>
      </c>
      <c r="F41" s="12" t="s">
        <v>1189</v>
      </c>
      <c r="G41" s="12" t="s">
        <v>915</v>
      </c>
      <c r="H41" s="12" t="s">
        <v>1095</v>
      </c>
      <c r="I41" s="12" t="s">
        <v>1096</v>
      </c>
      <c r="J41" s="45">
        <v>41852</v>
      </c>
      <c r="K41" s="45"/>
      <c r="L41" s="45">
        <v>41778</v>
      </c>
      <c r="M41" s="12" t="s">
        <v>91</v>
      </c>
      <c r="N41" s="12"/>
      <c r="O41" s="12" t="s">
        <v>60</v>
      </c>
      <c r="P41" s="12"/>
      <c r="Q41" s="12"/>
      <c r="R41" s="12"/>
      <c r="S41" s="12" t="s">
        <v>215</v>
      </c>
      <c r="T41" s="12"/>
      <c r="U41" s="12"/>
      <c r="V41" s="12"/>
    </row>
    <row r="42" spans="1:22" ht="104.1" customHeight="1" x14ac:dyDescent="0.25">
      <c r="A42" s="12" t="s">
        <v>1190</v>
      </c>
      <c r="B42" s="12" t="s">
        <v>103</v>
      </c>
      <c r="C42" s="12" t="s">
        <v>104</v>
      </c>
      <c r="D42" s="12" t="s">
        <v>232</v>
      </c>
      <c r="E42" s="12" t="s">
        <v>56</v>
      </c>
      <c r="F42" s="12" t="s">
        <v>1191</v>
      </c>
      <c r="G42" s="12" t="s">
        <v>915</v>
      </c>
      <c r="H42" s="12" t="s">
        <v>1124</v>
      </c>
      <c r="I42" s="12" t="s">
        <v>1105</v>
      </c>
      <c r="J42" s="45">
        <v>43952</v>
      </c>
      <c r="K42" s="45">
        <v>43927</v>
      </c>
      <c r="L42" s="45">
        <v>43914</v>
      </c>
      <c r="M42" s="12" t="s">
        <v>91</v>
      </c>
      <c r="N42" s="12" t="s">
        <v>1188</v>
      </c>
      <c r="O42" s="12" t="s">
        <v>60</v>
      </c>
      <c r="P42" s="12"/>
      <c r="Q42" s="12"/>
      <c r="R42" s="12" t="s">
        <v>1192</v>
      </c>
      <c r="S42" s="12" t="s">
        <v>60</v>
      </c>
      <c r="T42" s="12"/>
      <c r="U42" s="12"/>
      <c r="V42" s="12"/>
    </row>
    <row r="43" spans="1:22" ht="39" customHeight="1" x14ac:dyDescent="0.25">
      <c r="A43" s="12" t="s">
        <v>1193</v>
      </c>
      <c r="B43" s="12" t="s">
        <v>103</v>
      </c>
      <c r="C43" s="12" t="s">
        <v>104</v>
      </c>
      <c r="D43" s="12" t="s">
        <v>55</v>
      </c>
      <c r="E43" s="12" t="s">
        <v>56</v>
      </c>
      <c r="F43" s="12" t="s">
        <v>1194</v>
      </c>
      <c r="G43" s="12" t="s">
        <v>915</v>
      </c>
      <c r="H43" s="12" t="s">
        <v>1124</v>
      </c>
      <c r="I43" s="12" t="s">
        <v>1105</v>
      </c>
      <c r="J43" s="45">
        <v>43207</v>
      </c>
      <c r="K43" s="45">
        <v>43206</v>
      </c>
      <c r="L43" s="45">
        <v>43207</v>
      </c>
      <c r="M43" s="12" t="s">
        <v>91</v>
      </c>
      <c r="N43" s="12" t="s">
        <v>1188</v>
      </c>
      <c r="O43" s="12" t="s">
        <v>60</v>
      </c>
      <c r="P43" s="12"/>
      <c r="Q43" s="12"/>
      <c r="R43" s="12"/>
      <c r="S43" s="12" t="s">
        <v>215</v>
      </c>
      <c r="T43" s="12" t="s">
        <v>1195</v>
      </c>
      <c r="U43" s="12">
        <v>11</v>
      </c>
      <c r="V43" s="12"/>
    </row>
    <row r="44" spans="1:22" ht="51.95" customHeight="1" x14ac:dyDescent="0.25">
      <c r="A44" s="12" t="s">
        <v>1196</v>
      </c>
      <c r="B44" s="12" t="s">
        <v>103</v>
      </c>
      <c r="C44" s="12" t="s">
        <v>104</v>
      </c>
      <c r="D44" s="12" t="s">
        <v>126</v>
      </c>
      <c r="E44" s="12" t="s">
        <v>56</v>
      </c>
      <c r="F44" s="12" t="s">
        <v>1197</v>
      </c>
      <c r="G44" s="12" t="s">
        <v>915</v>
      </c>
      <c r="H44" s="12" t="s">
        <v>1124</v>
      </c>
      <c r="I44" s="12" t="s">
        <v>1105</v>
      </c>
      <c r="J44" s="45">
        <v>42583</v>
      </c>
      <c r="K44" s="45">
        <v>42485</v>
      </c>
      <c r="L44" s="45">
        <v>42486</v>
      </c>
      <c r="M44" s="12" t="s">
        <v>91</v>
      </c>
      <c r="N44" s="12" t="s">
        <v>1188</v>
      </c>
      <c r="O44" s="12" t="s">
        <v>60</v>
      </c>
      <c r="P44" s="12"/>
      <c r="Q44" s="12"/>
      <c r="R44" s="12" t="s">
        <v>555</v>
      </c>
      <c r="S44" s="12" t="s">
        <v>215</v>
      </c>
      <c r="T44" s="12" t="s">
        <v>1198</v>
      </c>
      <c r="U44" s="12">
        <v>26</v>
      </c>
      <c r="V44" s="12"/>
    </row>
    <row r="45" spans="1:22" ht="39" customHeight="1" x14ac:dyDescent="0.25">
      <c r="A45" s="12" t="s">
        <v>1199</v>
      </c>
      <c r="B45" s="12" t="s">
        <v>106</v>
      </c>
      <c r="C45" s="12" t="s">
        <v>107</v>
      </c>
      <c r="D45" s="12" t="s">
        <v>55</v>
      </c>
      <c r="E45" s="12" t="s">
        <v>212</v>
      </c>
      <c r="F45" s="12" t="s">
        <v>1200</v>
      </c>
      <c r="G45" s="12" t="s">
        <v>915</v>
      </c>
      <c r="H45" s="12" t="s">
        <v>1095</v>
      </c>
      <c r="I45" s="12" t="s">
        <v>1105</v>
      </c>
      <c r="J45" s="45">
        <v>43647</v>
      </c>
      <c r="K45" s="45">
        <v>43280</v>
      </c>
      <c r="L45" s="45">
        <v>43249</v>
      </c>
      <c r="M45" s="12" t="s">
        <v>91</v>
      </c>
      <c r="N45" s="12"/>
      <c r="O45" s="12" t="s">
        <v>60</v>
      </c>
      <c r="P45" s="12"/>
      <c r="Q45" s="12"/>
      <c r="R45" s="12"/>
      <c r="S45" s="12" t="s">
        <v>60</v>
      </c>
      <c r="T45" s="12"/>
      <c r="U45" s="12"/>
      <c r="V45" s="12"/>
    </row>
    <row r="46" spans="1:22" ht="182.1" customHeight="1" x14ac:dyDescent="0.25">
      <c r="A46" s="12" t="s">
        <v>1201</v>
      </c>
      <c r="B46" s="12" t="s">
        <v>106</v>
      </c>
      <c r="C46" s="12" t="s">
        <v>582</v>
      </c>
      <c r="D46" s="12" t="s">
        <v>220</v>
      </c>
      <c r="E46" s="12" t="s">
        <v>56</v>
      </c>
      <c r="F46" s="12" t="s">
        <v>1202</v>
      </c>
      <c r="G46" s="12" t="s">
        <v>915</v>
      </c>
      <c r="H46" s="12" t="s">
        <v>1095</v>
      </c>
      <c r="I46" s="12" t="s">
        <v>1105</v>
      </c>
      <c r="J46" s="45">
        <v>45383</v>
      </c>
      <c r="K46" s="45">
        <v>45014</v>
      </c>
      <c r="L46" s="45">
        <v>44985</v>
      </c>
      <c r="M46" s="12" t="s">
        <v>59</v>
      </c>
      <c r="N46" s="12"/>
      <c r="O46" s="12" t="s">
        <v>60</v>
      </c>
      <c r="P46" s="12"/>
      <c r="Q46" s="12"/>
      <c r="R46" s="12"/>
      <c r="S46" s="12" t="s">
        <v>60</v>
      </c>
      <c r="T46" s="12"/>
      <c r="U46" s="12"/>
      <c r="V46" s="12"/>
    </row>
    <row r="47" spans="1:22" ht="312" customHeight="1" x14ac:dyDescent="0.25">
      <c r="A47" s="12" t="s">
        <v>1203</v>
      </c>
      <c r="B47" s="12" t="s">
        <v>106</v>
      </c>
      <c r="C47" s="12" t="s">
        <v>582</v>
      </c>
      <c r="D47" s="12" t="s">
        <v>232</v>
      </c>
      <c r="E47" s="12" t="s">
        <v>1204</v>
      </c>
      <c r="F47" s="12" t="s">
        <v>1205</v>
      </c>
      <c r="G47" s="12" t="s">
        <v>915</v>
      </c>
      <c r="H47" s="12" t="s">
        <v>1095</v>
      </c>
      <c r="I47" s="12" t="s">
        <v>1096</v>
      </c>
      <c r="J47" s="45">
        <v>43927</v>
      </c>
      <c r="K47" s="45">
        <v>43927</v>
      </c>
      <c r="L47" s="45">
        <v>43910</v>
      </c>
      <c r="M47" s="12" t="s">
        <v>91</v>
      </c>
      <c r="N47" s="12" t="s">
        <v>1199</v>
      </c>
      <c r="O47" s="12" t="s">
        <v>60</v>
      </c>
      <c r="P47" s="12"/>
      <c r="Q47" s="12"/>
      <c r="R47" s="12" t="s">
        <v>587</v>
      </c>
      <c r="S47" s="12" t="s">
        <v>60</v>
      </c>
      <c r="T47" s="12"/>
      <c r="U47" s="12"/>
      <c r="V47" s="12"/>
    </row>
    <row r="48" spans="1:22" ht="51.95" customHeight="1" x14ac:dyDescent="0.25">
      <c r="A48" s="12" t="s">
        <v>1206</v>
      </c>
      <c r="B48" s="12" t="s">
        <v>106</v>
      </c>
      <c r="C48" s="12" t="s">
        <v>582</v>
      </c>
      <c r="D48" s="12" t="s">
        <v>236</v>
      </c>
      <c r="E48" s="12" t="s">
        <v>1204</v>
      </c>
      <c r="F48" s="12" t="s">
        <v>1207</v>
      </c>
      <c r="G48" s="12" t="s">
        <v>915</v>
      </c>
      <c r="H48" s="12" t="s">
        <v>1095</v>
      </c>
      <c r="I48" s="12" t="s">
        <v>1096</v>
      </c>
      <c r="J48" s="45"/>
      <c r="K48" s="45">
        <v>43644</v>
      </c>
      <c r="L48" s="45">
        <v>43613</v>
      </c>
      <c r="M48" s="12" t="s">
        <v>91</v>
      </c>
      <c r="N48" s="12" t="s">
        <v>1199</v>
      </c>
      <c r="O48" s="12" t="s">
        <v>60</v>
      </c>
      <c r="P48" s="12"/>
      <c r="Q48" s="12"/>
      <c r="R48" s="12" t="s">
        <v>584</v>
      </c>
      <c r="S48" s="12" t="s">
        <v>60</v>
      </c>
      <c r="T48" s="12"/>
      <c r="U48" s="12"/>
      <c r="V48" s="12"/>
    </row>
    <row r="49" spans="1:22" ht="26.1" customHeight="1" x14ac:dyDescent="0.25">
      <c r="A49" s="12" t="s">
        <v>1208</v>
      </c>
      <c r="B49" s="12" t="s">
        <v>109</v>
      </c>
      <c r="C49" s="12" t="s">
        <v>110</v>
      </c>
      <c r="D49" s="12" t="s">
        <v>220</v>
      </c>
      <c r="E49" s="12" t="s">
        <v>56</v>
      </c>
      <c r="F49" s="12" t="s">
        <v>1209</v>
      </c>
      <c r="G49" s="12" t="s">
        <v>915</v>
      </c>
      <c r="H49" s="12" t="s">
        <v>1157</v>
      </c>
      <c r="I49" s="12" t="s">
        <v>1157</v>
      </c>
      <c r="J49" s="45">
        <v>45139</v>
      </c>
      <c r="K49" s="45">
        <v>45135</v>
      </c>
      <c r="L49" s="45">
        <v>45105</v>
      </c>
      <c r="M49" s="12" t="s">
        <v>59</v>
      </c>
      <c r="N49" s="12"/>
      <c r="O49" s="12" t="s">
        <v>60</v>
      </c>
      <c r="P49" s="12"/>
      <c r="Q49" s="12"/>
      <c r="R49" s="12"/>
      <c r="S49" s="12" t="s">
        <v>60</v>
      </c>
      <c r="T49" s="12"/>
      <c r="U49" s="12">
        <v>1</v>
      </c>
      <c r="V49" s="12"/>
    </row>
    <row r="50" spans="1:22" ht="78" customHeight="1" x14ac:dyDescent="0.25">
      <c r="A50" s="12" t="s">
        <v>1210</v>
      </c>
      <c r="B50" s="12" t="s">
        <v>112</v>
      </c>
      <c r="C50" s="12" t="s">
        <v>113</v>
      </c>
      <c r="D50" s="12" t="s">
        <v>252</v>
      </c>
      <c r="E50" s="12" t="s">
        <v>56</v>
      </c>
      <c r="F50" s="12" t="s">
        <v>1211</v>
      </c>
      <c r="G50" s="12" t="s">
        <v>915</v>
      </c>
      <c r="H50" s="12" t="s">
        <v>1157</v>
      </c>
      <c r="I50" s="12" t="s">
        <v>1105</v>
      </c>
      <c r="J50" s="45">
        <v>45383</v>
      </c>
      <c r="K50" s="45">
        <v>45341</v>
      </c>
      <c r="L50" s="45">
        <v>45384</v>
      </c>
      <c r="M50" s="12" t="s">
        <v>59</v>
      </c>
      <c r="N50" s="12" t="s">
        <v>1212</v>
      </c>
      <c r="O50" s="12" t="s">
        <v>60</v>
      </c>
      <c r="P50" s="12"/>
      <c r="Q50" s="12"/>
      <c r="R50" s="12" t="s">
        <v>1213</v>
      </c>
      <c r="S50" s="12" t="s">
        <v>215</v>
      </c>
      <c r="T50" s="12"/>
      <c r="U50" s="12">
        <v>3</v>
      </c>
      <c r="V50" s="12"/>
    </row>
    <row r="51" spans="1:22" ht="51.95" customHeight="1" x14ac:dyDescent="0.25">
      <c r="A51" s="12" t="s">
        <v>1212</v>
      </c>
      <c r="B51" s="12" t="s">
        <v>112</v>
      </c>
      <c r="C51" s="12" t="s">
        <v>113</v>
      </c>
      <c r="D51" s="12" t="s">
        <v>224</v>
      </c>
      <c r="E51" s="12" t="s">
        <v>56</v>
      </c>
      <c r="F51" s="12" t="s">
        <v>1214</v>
      </c>
      <c r="G51" s="12" t="s">
        <v>915</v>
      </c>
      <c r="H51" s="12" t="s">
        <v>1157</v>
      </c>
      <c r="I51" s="12" t="s">
        <v>1105</v>
      </c>
      <c r="J51" s="45">
        <v>44958</v>
      </c>
      <c r="K51" s="45">
        <v>44644</v>
      </c>
      <c r="L51" s="45">
        <v>44636</v>
      </c>
      <c r="M51" s="12" t="s">
        <v>59</v>
      </c>
      <c r="N51" s="12"/>
      <c r="O51" s="12" t="s">
        <v>60</v>
      </c>
      <c r="P51" s="12"/>
      <c r="Q51" s="12"/>
      <c r="R51" s="12" t="s">
        <v>1215</v>
      </c>
      <c r="S51" s="12" t="s">
        <v>215</v>
      </c>
      <c r="T51" s="12" t="s">
        <v>1216</v>
      </c>
      <c r="U51" s="12">
        <v>25</v>
      </c>
      <c r="V51" s="12"/>
    </row>
    <row r="52" spans="1:22" ht="39" customHeight="1" x14ac:dyDescent="0.25">
      <c r="A52" s="12" t="s">
        <v>1217</v>
      </c>
      <c r="B52" s="12" t="s">
        <v>121</v>
      </c>
      <c r="C52" s="12" t="s">
        <v>122</v>
      </c>
      <c r="D52" s="12" t="s">
        <v>55</v>
      </c>
      <c r="E52" s="12" t="s">
        <v>1167</v>
      </c>
      <c r="F52" s="12" t="s">
        <v>1218</v>
      </c>
      <c r="G52" s="12" t="s">
        <v>915</v>
      </c>
      <c r="H52" s="12" t="s">
        <v>1124</v>
      </c>
      <c r="I52" s="12" t="s">
        <v>1105</v>
      </c>
      <c r="J52" s="45">
        <v>43282</v>
      </c>
      <c r="K52" s="45">
        <v>43270</v>
      </c>
      <c r="L52" s="45">
        <v>43283</v>
      </c>
      <c r="M52" s="12" t="s">
        <v>91</v>
      </c>
      <c r="N52" s="12" t="s">
        <v>1219</v>
      </c>
      <c r="O52" s="12" t="s">
        <v>60</v>
      </c>
      <c r="P52" s="12"/>
      <c r="Q52" s="12"/>
      <c r="R52" s="12" t="s">
        <v>1220</v>
      </c>
      <c r="S52" s="12" t="s">
        <v>60</v>
      </c>
      <c r="T52" s="12"/>
      <c r="U52" s="12"/>
      <c r="V52" s="12"/>
    </row>
    <row r="53" spans="1:22" ht="39" customHeight="1" x14ac:dyDescent="0.25">
      <c r="A53" s="12" t="s">
        <v>1219</v>
      </c>
      <c r="B53" s="12" t="s">
        <v>121</v>
      </c>
      <c r="C53" s="12" t="s">
        <v>122</v>
      </c>
      <c r="D53" s="12" t="s">
        <v>77</v>
      </c>
      <c r="E53" s="12" t="s">
        <v>1167</v>
      </c>
      <c r="F53" s="12" t="s">
        <v>1221</v>
      </c>
      <c r="G53" s="12" t="s">
        <v>915</v>
      </c>
      <c r="H53" s="12" t="s">
        <v>1124</v>
      </c>
      <c r="I53" s="12" t="s">
        <v>1105</v>
      </c>
      <c r="J53" s="45">
        <v>42736</v>
      </c>
      <c r="K53" s="45">
        <v>42283</v>
      </c>
      <c r="L53" s="45">
        <v>42289</v>
      </c>
      <c r="M53" s="12" t="s">
        <v>91</v>
      </c>
      <c r="N53" s="12"/>
      <c r="O53" s="12" t="s">
        <v>60</v>
      </c>
      <c r="P53" s="12"/>
      <c r="Q53" s="12"/>
      <c r="R53" s="12" t="s">
        <v>1222</v>
      </c>
      <c r="S53" s="12" t="s">
        <v>60</v>
      </c>
      <c r="T53" s="12"/>
      <c r="U53" s="12"/>
      <c r="V53" s="12"/>
    </row>
    <row r="54" spans="1:22" ht="39" customHeight="1" x14ac:dyDescent="0.25">
      <c r="A54" s="12" t="s">
        <v>1223</v>
      </c>
      <c r="B54" s="12" t="s">
        <v>121</v>
      </c>
      <c r="C54" s="12" t="s">
        <v>122</v>
      </c>
      <c r="D54" s="12" t="s">
        <v>232</v>
      </c>
      <c r="E54" s="12" t="s">
        <v>1167</v>
      </c>
      <c r="F54" s="12" t="s">
        <v>1224</v>
      </c>
      <c r="G54" s="12" t="s">
        <v>915</v>
      </c>
      <c r="H54" s="12" t="s">
        <v>1157</v>
      </c>
      <c r="I54" s="12" t="s">
        <v>1157</v>
      </c>
      <c r="J54" s="45">
        <v>43908</v>
      </c>
      <c r="K54" s="45">
        <v>43908</v>
      </c>
      <c r="L54" s="45">
        <v>43924</v>
      </c>
      <c r="M54" s="12" t="s">
        <v>59</v>
      </c>
      <c r="N54" s="12" t="s">
        <v>1219</v>
      </c>
      <c r="O54" s="12" t="s">
        <v>60</v>
      </c>
      <c r="P54" s="12"/>
      <c r="Q54" s="12"/>
      <c r="R54" s="12" t="s">
        <v>1225</v>
      </c>
      <c r="S54" s="12" t="s">
        <v>60</v>
      </c>
      <c r="T54" s="12"/>
      <c r="U54" s="12"/>
      <c r="V54" s="12"/>
    </row>
    <row r="55" spans="1:22" ht="117" customHeight="1" x14ac:dyDescent="0.25">
      <c r="A55" s="12" t="s">
        <v>1226</v>
      </c>
      <c r="B55" s="12" t="s">
        <v>121</v>
      </c>
      <c r="C55" s="12" t="s">
        <v>122</v>
      </c>
      <c r="D55" s="12" t="s">
        <v>236</v>
      </c>
      <c r="E55" s="12" t="s">
        <v>1167</v>
      </c>
      <c r="F55" s="12" t="s">
        <v>1227</v>
      </c>
      <c r="G55" s="12" t="s">
        <v>915</v>
      </c>
      <c r="H55" s="12" t="s">
        <v>1124</v>
      </c>
      <c r="I55" s="12" t="s">
        <v>1105</v>
      </c>
      <c r="J55" s="45">
        <v>43831</v>
      </c>
      <c r="K55" s="45">
        <v>43685</v>
      </c>
      <c r="L55" s="45">
        <v>43686</v>
      </c>
      <c r="M55" s="12" t="s">
        <v>91</v>
      </c>
      <c r="N55" s="12"/>
      <c r="O55" s="12" t="s">
        <v>60</v>
      </c>
      <c r="P55" s="12"/>
      <c r="Q55" s="12"/>
      <c r="R55" s="12" t="s">
        <v>1228</v>
      </c>
      <c r="S55" s="12" t="s">
        <v>60</v>
      </c>
      <c r="T55" s="12"/>
      <c r="U55" s="12"/>
      <c r="V55" s="12"/>
    </row>
    <row r="56" spans="1:22" ht="143.1" customHeight="1" x14ac:dyDescent="0.25">
      <c r="A56" s="12" t="s">
        <v>1229</v>
      </c>
      <c r="B56" s="12" t="s">
        <v>121</v>
      </c>
      <c r="C56" s="12" t="s">
        <v>122</v>
      </c>
      <c r="D56" s="12" t="s">
        <v>236</v>
      </c>
      <c r="E56" s="12" t="s">
        <v>1167</v>
      </c>
      <c r="F56" s="12" t="s">
        <v>1230</v>
      </c>
      <c r="G56" s="12" t="s">
        <v>915</v>
      </c>
      <c r="H56" s="12" t="s">
        <v>1124</v>
      </c>
      <c r="I56" s="12" t="s">
        <v>1105</v>
      </c>
      <c r="J56" s="45">
        <v>43647</v>
      </c>
      <c r="K56" s="45">
        <v>43630</v>
      </c>
      <c r="L56" s="45">
        <v>43647</v>
      </c>
      <c r="M56" s="12" t="s">
        <v>91</v>
      </c>
      <c r="N56" s="12" t="s">
        <v>1219</v>
      </c>
      <c r="O56" s="12" t="s">
        <v>60</v>
      </c>
      <c r="P56" s="12"/>
      <c r="Q56" s="12"/>
      <c r="R56" s="12" t="s">
        <v>1231</v>
      </c>
      <c r="S56" s="12" t="s">
        <v>60</v>
      </c>
      <c r="T56" s="12"/>
      <c r="U56" s="12"/>
      <c r="V56" s="12"/>
    </row>
    <row r="57" spans="1:22" ht="51.95" customHeight="1" x14ac:dyDescent="0.25">
      <c r="A57" s="12" t="s">
        <v>1232</v>
      </c>
      <c r="B57" s="12" t="s">
        <v>121</v>
      </c>
      <c r="C57" s="12" t="s">
        <v>122</v>
      </c>
      <c r="D57" s="12" t="s">
        <v>83</v>
      </c>
      <c r="E57" s="12" t="s">
        <v>1167</v>
      </c>
      <c r="F57" s="12" t="s">
        <v>1233</v>
      </c>
      <c r="G57" s="12" t="s">
        <v>915</v>
      </c>
      <c r="H57" s="12" t="s">
        <v>1124</v>
      </c>
      <c r="I57" s="12" t="s">
        <v>1105</v>
      </c>
      <c r="J57" s="45">
        <v>42917</v>
      </c>
      <c r="K57" s="45">
        <v>42906</v>
      </c>
      <c r="L57" s="45">
        <v>42919</v>
      </c>
      <c r="M57" s="12" t="s">
        <v>91</v>
      </c>
      <c r="N57" s="12" t="s">
        <v>1219</v>
      </c>
      <c r="O57" s="12" t="s">
        <v>60</v>
      </c>
      <c r="P57" s="12"/>
      <c r="Q57" s="12"/>
      <c r="R57" s="12" t="s">
        <v>1234</v>
      </c>
      <c r="S57" s="12" t="s">
        <v>60</v>
      </c>
      <c r="T57" s="12"/>
      <c r="U57" s="12"/>
      <c r="V57" s="12"/>
    </row>
    <row r="58" spans="1:22" ht="26.1" customHeight="1" x14ac:dyDescent="0.25">
      <c r="A58" s="12" t="s">
        <v>1235</v>
      </c>
      <c r="B58" s="12" t="s">
        <v>121</v>
      </c>
      <c r="C58" s="12" t="s">
        <v>122</v>
      </c>
      <c r="D58" s="12" t="s">
        <v>126</v>
      </c>
      <c r="E58" s="12" t="s">
        <v>1167</v>
      </c>
      <c r="F58" s="12" t="s">
        <v>1236</v>
      </c>
      <c r="G58" s="12" t="s">
        <v>915</v>
      </c>
      <c r="H58" s="12" t="s">
        <v>1157</v>
      </c>
      <c r="I58" s="12" t="s">
        <v>1157</v>
      </c>
      <c r="J58" s="45">
        <v>42917</v>
      </c>
      <c r="K58" s="45">
        <v>42633</v>
      </c>
      <c r="L58" s="45">
        <v>42639</v>
      </c>
      <c r="M58" s="12" t="s">
        <v>91</v>
      </c>
      <c r="N58" s="12" t="s">
        <v>1219</v>
      </c>
      <c r="O58" s="12" t="s">
        <v>60</v>
      </c>
      <c r="P58" s="12"/>
      <c r="Q58" s="12"/>
      <c r="R58" s="12" t="s">
        <v>1237</v>
      </c>
      <c r="S58" s="12" t="s">
        <v>60</v>
      </c>
      <c r="T58" s="12"/>
      <c r="U58" s="12"/>
      <c r="V58" s="12"/>
    </row>
    <row r="59" spans="1:22" ht="26.1" customHeight="1" x14ac:dyDescent="0.25">
      <c r="A59" s="12" t="s">
        <v>1238</v>
      </c>
      <c r="B59" s="12" t="s">
        <v>121</v>
      </c>
      <c r="C59" s="12" t="s">
        <v>122</v>
      </c>
      <c r="D59" s="12" t="s">
        <v>252</v>
      </c>
      <c r="E59" s="12" t="s">
        <v>1167</v>
      </c>
      <c r="F59" s="12" t="s">
        <v>1239</v>
      </c>
      <c r="G59" s="12" t="s">
        <v>915</v>
      </c>
      <c r="H59" s="12"/>
      <c r="I59" s="12" t="s">
        <v>1105</v>
      </c>
      <c r="J59" s="45">
        <v>45474</v>
      </c>
      <c r="K59" s="45">
        <v>45442</v>
      </c>
      <c r="L59" s="45">
        <v>45473</v>
      </c>
      <c r="M59" s="12" t="s">
        <v>59</v>
      </c>
      <c r="N59" s="12"/>
      <c r="O59" s="12" t="s">
        <v>60</v>
      </c>
      <c r="P59" s="12"/>
      <c r="Q59" s="12"/>
      <c r="R59" s="12" t="s">
        <v>1240</v>
      </c>
      <c r="S59" s="12" t="s">
        <v>60</v>
      </c>
      <c r="T59" s="12"/>
      <c r="U59" s="12"/>
      <c r="V59" s="12"/>
    </row>
    <row r="60" spans="1:22" ht="156" customHeight="1" x14ac:dyDescent="0.25">
      <c r="A60" s="12" t="s">
        <v>1241</v>
      </c>
      <c r="B60" s="12" t="s">
        <v>124</v>
      </c>
      <c r="C60" s="12" t="s">
        <v>690</v>
      </c>
      <c r="D60" s="12" t="s">
        <v>224</v>
      </c>
      <c r="E60" s="12" t="s">
        <v>212</v>
      </c>
      <c r="F60" s="12" t="s">
        <v>1242</v>
      </c>
      <c r="G60" s="12" t="s">
        <v>915</v>
      </c>
      <c r="H60" s="12" t="s">
        <v>1124</v>
      </c>
      <c r="I60" s="12" t="s">
        <v>1105</v>
      </c>
      <c r="J60" s="45">
        <v>44636</v>
      </c>
      <c r="K60" s="45">
        <v>44635</v>
      </c>
      <c r="L60" s="45">
        <v>44645</v>
      </c>
      <c r="M60" s="12" t="s">
        <v>59</v>
      </c>
      <c r="N60" s="12" t="s">
        <v>1243</v>
      </c>
      <c r="O60" s="12" t="s">
        <v>60</v>
      </c>
      <c r="P60" s="12"/>
      <c r="Q60" s="12"/>
      <c r="R60" s="12"/>
      <c r="S60" s="12" t="s">
        <v>60</v>
      </c>
      <c r="T60" s="12"/>
      <c r="U60" s="12"/>
      <c r="V60" s="12"/>
    </row>
    <row r="61" spans="1:22" ht="39" customHeight="1" x14ac:dyDescent="0.25">
      <c r="A61" s="12" t="s">
        <v>1244</v>
      </c>
      <c r="B61" s="12" t="s">
        <v>124</v>
      </c>
      <c r="C61" s="12" t="s">
        <v>125</v>
      </c>
      <c r="D61" s="12" t="s">
        <v>126</v>
      </c>
      <c r="E61" s="12" t="s">
        <v>212</v>
      </c>
      <c r="F61" s="12" t="s">
        <v>1245</v>
      </c>
      <c r="G61" s="12" t="s">
        <v>915</v>
      </c>
      <c r="H61" s="12" t="s">
        <v>1124</v>
      </c>
      <c r="I61" s="12" t="s">
        <v>1105</v>
      </c>
      <c r="J61" s="45">
        <v>42461</v>
      </c>
      <c r="K61" s="45"/>
      <c r="L61" s="45">
        <v>42430</v>
      </c>
      <c r="M61" s="12" t="s">
        <v>91</v>
      </c>
      <c r="N61" s="12"/>
      <c r="O61" s="12" t="s">
        <v>60</v>
      </c>
      <c r="P61" s="12"/>
      <c r="Q61" s="12"/>
      <c r="R61" s="12"/>
      <c r="S61" s="12" t="s">
        <v>215</v>
      </c>
      <c r="T61" s="12"/>
      <c r="U61" s="12"/>
      <c r="V61" s="12"/>
    </row>
    <row r="62" spans="1:22" ht="26.1" customHeight="1" x14ac:dyDescent="0.25">
      <c r="A62" s="12" t="s">
        <v>1243</v>
      </c>
      <c r="B62" s="12" t="s">
        <v>124</v>
      </c>
      <c r="C62" s="12" t="s">
        <v>690</v>
      </c>
      <c r="D62" s="12" t="s">
        <v>232</v>
      </c>
      <c r="E62" s="12" t="s">
        <v>56</v>
      </c>
      <c r="F62" s="12" t="s">
        <v>1245</v>
      </c>
      <c r="G62" s="12" t="s">
        <v>915</v>
      </c>
      <c r="H62" s="12" t="s">
        <v>1124</v>
      </c>
      <c r="I62" s="12" t="s">
        <v>1105</v>
      </c>
      <c r="J62" s="45">
        <v>43929</v>
      </c>
      <c r="K62" s="45">
        <v>43921</v>
      </c>
      <c r="L62" s="45">
        <v>43929</v>
      </c>
      <c r="M62" s="12" t="s">
        <v>91</v>
      </c>
      <c r="N62" s="12"/>
      <c r="O62" s="12" t="s">
        <v>60</v>
      </c>
      <c r="P62" s="12"/>
      <c r="Q62" s="12"/>
      <c r="R62" s="12" t="s">
        <v>1246</v>
      </c>
      <c r="S62" s="12" t="s">
        <v>60</v>
      </c>
      <c r="T62" s="12"/>
      <c r="U62" s="12"/>
      <c r="V62" s="12"/>
    </row>
    <row r="63" spans="1:22" ht="78" customHeight="1" x14ac:dyDescent="0.25">
      <c r="A63" s="12" t="s">
        <v>1247</v>
      </c>
      <c r="B63" s="12" t="s">
        <v>124</v>
      </c>
      <c r="C63" s="12" t="s">
        <v>690</v>
      </c>
      <c r="D63" s="12" t="s">
        <v>252</v>
      </c>
      <c r="E63" s="12" t="s">
        <v>212</v>
      </c>
      <c r="F63" s="12" t="s">
        <v>1248</v>
      </c>
      <c r="G63" s="12" t="s">
        <v>915</v>
      </c>
      <c r="H63" s="12" t="s">
        <v>1124</v>
      </c>
      <c r="I63" s="12" t="s">
        <v>1105</v>
      </c>
      <c r="J63" s="45">
        <v>45631</v>
      </c>
      <c r="K63" s="45">
        <v>45631</v>
      </c>
      <c r="L63" s="45">
        <v>45630</v>
      </c>
      <c r="M63" s="12" t="s">
        <v>59</v>
      </c>
      <c r="N63" s="12" t="s">
        <v>1243</v>
      </c>
      <c r="O63" s="12" t="s">
        <v>60</v>
      </c>
      <c r="P63" s="12"/>
      <c r="Q63" s="12"/>
      <c r="R63" s="12" t="s">
        <v>692</v>
      </c>
      <c r="S63" s="12" t="s">
        <v>60</v>
      </c>
      <c r="T63" s="12"/>
      <c r="U63" s="12"/>
      <c r="V63" s="12"/>
    </row>
    <row r="64" spans="1:22" ht="65.099999999999994" customHeight="1" x14ac:dyDescent="0.25">
      <c r="A64" s="12" t="s">
        <v>1249</v>
      </c>
      <c r="B64" s="12" t="s">
        <v>132</v>
      </c>
      <c r="C64" s="12" t="s">
        <v>133</v>
      </c>
      <c r="D64" s="12" t="s">
        <v>252</v>
      </c>
      <c r="E64" s="12" t="s">
        <v>56</v>
      </c>
      <c r="F64" s="12" t="s">
        <v>1250</v>
      </c>
      <c r="G64" s="12" t="s">
        <v>915</v>
      </c>
      <c r="H64" s="12" t="s">
        <v>1251</v>
      </c>
      <c r="I64" s="12" t="s">
        <v>1105</v>
      </c>
      <c r="J64" s="45">
        <v>45838</v>
      </c>
      <c r="K64" s="45">
        <v>45386</v>
      </c>
      <c r="L64" s="45">
        <v>45377</v>
      </c>
      <c r="M64" s="12" t="s">
        <v>91</v>
      </c>
      <c r="N64" s="12"/>
      <c r="O64" s="12" t="s">
        <v>60</v>
      </c>
      <c r="P64" s="12"/>
      <c r="Q64" s="12"/>
      <c r="R64" s="12" t="s">
        <v>1252</v>
      </c>
      <c r="S64" s="12" t="s">
        <v>215</v>
      </c>
      <c r="T64" s="12"/>
      <c r="U64" s="12">
        <v>19</v>
      </c>
      <c r="V64" s="12"/>
    </row>
    <row r="65" spans="1:22" ht="65.099999999999994" customHeight="1" x14ac:dyDescent="0.25">
      <c r="A65" s="12" t="s">
        <v>1253</v>
      </c>
      <c r="B65" s="12" t="s">
        <v>143</v>
      </c>
      <c r="C65" s="12" t="s">
        <v>144</v>
      </c>
      <c r="D65" s="12" t="s">
        <v>77</v>
      </c>
      <c r="E65" s="12" t="s">
        <v>212</v>
      </c>
      <c r="F65" s="12" t="s">
        <v>1254</v>
      </c>
      <c r="G65" s="12" t="s">
        <v>915</v>
      </c>
      <c r="H65" s="12" t="s">
        <v>1095</v>
      </c>
      <c r="I65" s="12" t="s">
        <v>1096</v>
      </c>
      <c r="J65" s="45">
        <v>42036</v>
      </c>
      <c r="K65" s="45"/>
      <c r="L65" s="45">
        <v>43096</v>
      </c>
      <c r="M65" s="12" t="s">
        <v>91</v>
      </c>
      <c r="N65" s="12"/>
      <c r="O65" s="12" t="s">
        <v>60</v>
      </c>
      <c r="P65" s="12"/>
      <c r="Q65" s="12"/>
      <c r="R65" s="12"/>
      <c r="S65" s="12" t="s">
        <v>60</v>
      </c>
      <c r="T65" s="12"/>
      <c r="U65" s="12"/>
      <c r="V65" s="12"/>
    </row>
    <row r="66" spans="1:22" ht="26.1" customHeight="1" x14ac:dyDescent="0.25">
      <c r="A66" s="12" t="s">
        <v>1255</v>
      </c>
      <c r="B66" s="12" t="s">
        <v>143</v>
      </c>
      <c r="C66" s="12" t="s">
        <v>144</v>
      </c>
      <c r="D66" s="12" t="s">
        <v>224</v>
      </c>
      <c r="E66" s="12" t="s">
        <v>212</v>
      </c>
      <c r="F66" s="12" t="s">
        <v>1256</v>
      </c>
      <c r="G66" s="12" t="s">
        <v>915</v>
      </c>
      <c r="H66" s="12" t="s">
        <v>1157</v>
      </c>
      <c r="I66" s="12" t="s">
        <v>1105</v>
      </c>
      <c r="J66" s="45">
        <v>44682</v>
      </c>
      <c r="K66" s="45">
        <v>44677</v>
      </c>
      <c r="L66" s="45">
        <v>44685</v>
      </c>
      <c r="M66" s="12" t="s">
        <v>91</v>
      </c>
      <c r="N66" s="12"/>
      <c r="O66" s="12" t="s">
        <v>60</v>
      </c>
      <c r="P66" s="12"/>
      <c r="Q66" s="12"/>
      <c r="R66" s="12" t="s">
        <v>1257</v>
      </c>
      <c r="S66" s="12" t="s">
        <v>60</v>
      </c>
      <c r="T66" s="12"/>
      <c r="U66" s="12"/>
      <c r="V66" s="12"/>
    </row>
    <row r="67" spans="1:22" ht="78" customHeight="1" x14ac:dyDescent="0.25">
      <c r="A67" s="12" t="s">
        <v>1258</v>
      </c>
      <c r="B67" s="12" t="s">
        <v>143</v>
      </c>
      <c r="C67" s="12" t="s">
        <v>144</v>
      </c>
      <c r="D67" s="12" t="s">
        <v>236</v>
      </c>
      <c r="E67" s="12" t="s">
        <v>212</v>
      </c>
      <c r="F67" s="12" t="s">
        <v>1259</v>
      </c>
      <c r="G67" s="12" t="s">
        <v>915</v>
      </c>
      <c r="H67" s="12" t="s">
        <v>1095</v>
      </c>
      <c r="I67" s="12" t="s">
        <v>1096</v>
      </c>
      <c r="J67" s="45">
        <v>43831</v>
      </c>
      <c r="K67" s="45">
        <v>43795</v>
      </c>
      <c r="L67" s="45">
        <v>43798</v>
      </c>
      <c r="M67" s="12" t="s">
        <v>91</v>
      </c>
      <c r="N67" s="12" t="s">
        <v>1253</v>
      </c>
      <c r="O67" s="12" t="s">
        <v>60</v>
      </c>
      <c r="P67" s="12"/>
      <c r="Q67" s="12"/>
      <c r="R67" s="12" t="s">
        <v>1260</v>
      </c>
      <c r="S67" s="12" t="s">
        <v>60</v>
      </c>
      <c r="T67" s="12"/>
      <c r="U67" s="12"/>
      <c r="V67" s="12"/>
    </row>
    <row r="68" spans="1:22" ht="39" customHeight="1" x14ac:dyDescent="0.25">
      <c r="A68" s="12" t="s">
        <v>1261</v>
      </c>
      <c r="B68" s="12" t="s">
        <v>143</v>
      </c>
      <c r="C68" s="12" t="s">
        <v>144</v>
      </c>
      <c r="D68" s="12" t="s">
        <v>55</v>
      </c>
      <c r="E68" s="12" t="s">
        <v>212</v>
      </c>
      <c r="F68" s="12" t="s">
        <v>1254</v>
      </c>
      <c r="G68" s="12" t="s">
        <v>915</v>
      </c>
      <c r="H68" s="12" t="s">
        <v>1095</v>
      </c>
      <c r="I68" s="12" t="s">
        <v>1096</v>
      </c>
      <c r="J68" s="45">
        <v>43466</v>
      </c>
      <c r="K68" s="45">
        <v>43433</v>
      </c>
      <c r="L68" s="45">
        <v>43434</v>
      </c>
      <c r="M68" s="12" t="s">
        <v>91</v>
      </c>
      <c r="N68" s="12" t="s">
        <v>1253</v>
      </c>
      <c r="O68" s="12" t="s">
        <v>60</v>
      </c>
      <c r="P68" s="12"/>
      <c r="Q68" s="12"/>
      <c r="R68" s="12" t="s">
        <v>1262</v>
      </c>
      <c r="S68" s="12" t="s">
        <v>60</v>
      </c>
      <c r="T68" s="12"/>
      <c r="U68" s="12"/>
      <c r="V68" s="12"/>
    </row>
    <row r="69" spans="1:22" ht="246.95" customHeight="1" x14ac:dyDescent="0.25">
      <c r="A69" s="12" t="s">
        <v>1263</v>
      </c>
      <c r="B69" s="12" t="s">
        <v>143</v>
      </c>
      <c r="C69" s="12" t="s">
        <v>144</v>
      </c>
      <c r="D69" s="12" t="s">
        <v>220</v>
      </c>
      <c r="E69" s="12" t="s">
        <v>212</v>
      </c>
      <c r="F69" s="12" t="s">
        <v>1264</v>
      </c>
      <c r="G69" s="12" t="s">
        <v>915</v>
      </c>
      <c r="H69" s="12" t="s">
        <v>1157</v>
      </c>
      <c r="I69" s="12" t="s">
        <v>1157</v>
      </c>
      <c r="J69" s="45">
        <v>45194</v>
      </c>
      <c r="K69" s="45">
        <v>45194</v>
      </c>
      <c r="L69" s="45">
        <v>45194</v>
      </c>
      <c r="M69" s="12" t="s">
        <v>59</v>
      </c>
      <c r="N69" s="12" t="s">
        <v>1255</v>
      </c>
      <c r="O69" s="12" t="s">
        <v>60</v>
      </c>
      <c r="P69" s="12"/>
      <c r="Q69" s="12"/>
      <c r="R69" s="12" t="s">
        <v>1260</v>
      </c>
      <c r="S69" s="12" t="s">
        <v>60</v>
      </c>
      <c r="T69" s="12"/>
      <c r="U69" s="12"/>
      <c r="V69" s="12"/>
    </row>
    <row r="70" spans="1:22" ht="51.95" customHeight="1" x14ac:dyDescent="0.25">
      <c r="A70" s="12" t="s">
        <v>1265</v>
      </c>
      <c r="B70" s="12" t="s">
        <v>147</v>
      </c>
      <c r="C70" s="12" t="s">
        <v>148</v>
      </c>
      <c r="D70" s="12" t="s">
        <v>252</v>
      </c>
      <c r="E70" s="12" t="s">
        <v>1167</v>
      </c>
      <c r="F70" s="12" t="s">
        <v>1266</v>
      </c>
      <c r="G70" s="12" t="s">
        <v>915</v>
      </c>
      <c r="H70" s="12" t="s">
        <v>1115</v>
      </c>
      <c r="I70" s="12" t="s">
        <v>1105</v>
      </c>
      <c r="J70" s="45">
        <v>45574</v>
      </c>
      <c r="K70" s="45">
        <v>45574</v>
      </c>
      <c r="L70" s="45">
        <v>45572</v>
      </c>
      <c r="M70" s="12" t="s">
        <v>59</v>
      </c>
      <c r="N70" s="12" t="s">
        <v>1267</v>
      </c>
      <c r="O70" s="12" t="s">
        <v>60</v>
      </c>
      <c r="P70" s="12"/>
      <c r="Q70" s="12"/>
      <c r="R70" s="12" t="s">
        <v>1268</v>
      </c>
      <c r="S70" s="12" t="s">
        <v>60</v>
      </c>
      <c r="T70" s="12"/>
      <c r="U70" s="12"/>
      <c r="V70" s="12"/>
    </row>
    <row r="71" spans="1:22" ht="51.95" customHeight="1" x14ac:dyDescent="0.25">
      <c r="A71" s="12" t="s">
        <v>1267</v>
      </c>
      <c r="B71" s="12" t="s">
        <v>147</v>
      </c>
      <c r="C71" s="12" t="s">
        <v>148</v>
      </c>
      <c r="D71" s="12" t="s">
        <v>228</v>
      </c>
      <c r="E71" s="12" t="s">
        <v>56</v>
      </c>
      <c r="F71" s="12" t="s">
        <v>1269</v>
      </c>
      <c r="G71" s="12" t="s">
        <v>915</v>
      </c>
      <c r="H71" s="12" t="s">
        <v>1115</v>
      </c>
      <c r="I71" s="12" t="s">
        <v>1105</v>
      </c>
      <c r="J71" s="45">
        <v>44743</v>
      </c>
      <c r="K71" s="45">
        <v>44525</v>
      </c>
      <c r="L71" s="45">
        <v>44495</v>
      </c>
      <c r="M71" s="12" t="s">
        <v>59</v>
      </c>
      <c r="N71" s="12"/>
      <c r="O71" s="12" t="s">
        <v>60</v>
      </c>
      <c r="P71" s="12"/>
      <c r="Q71" s="12"/>
      <c r="R71" s="12" t="s">
        <v>1268</v>
      </c>
      <c r="S71" s="12" t="s">
        <v>215</v>
      </c>
      <c r="T71" s="12" t="s">
        <v>1270</v>
      </c>
      <c r="U71" s="12">
        <v>23</v>
      </c>
      <c r="V71" s="12"/>
    </row>
    <row r="72" spans="1:22" ht="51.95" customHeight="1" x14ac:dyDescent="0.25">
      <c r="A72" s="12" t="s">
        <v>1271</v>
      </c>
      <c r="B72" s="12" t="s">
        <v>157</v>
      </c>
      <c r="C72" s="12" t="s">
        <v>1272</v>
      </c>
      <c r="D72" s="12" t="s">
        <v>220</v>
      </c>
      <c r="E72" s="12" t="s">
        <v>56</v>
      </c>
      <c r="F72" s="12" t="s">
        <v>1273</v>
      </c>
      <c r="G72" s="12" t="s">
        <v>915</v>
      </c>
      <c r="H72" s="12" t="s">
        <v>1124</v>
      </c>
      <c r="I72" s="12" t="s">
        <v>1105</v>
      </c>
      <c r="J72" s="45">
        <v>45013</v>
      </c>
      <c r="K72" s="45">
        <v>44984</v>
      </c>
      <c r="L72" s="45">
        <v>44985</v>
      </c>
      <c r="M72" s="12" t="s">
        <v>59</v>
      </c>
      <c r="N72" s="12"/>
      <c r="O72" s="12" t="s">
        <v>60</v>
      </c>
      <c r="P72" s="12"/>
      <c r="Q72" s="12"/>
      <c r="R72" s="12" t="s">
        <v>1274</v>
      </c>
      <c r="S72" s="12" t="s">
        <v>60</v>
      </c>
      <c r="T72" s="12"/>
      <c r="U72" s="12"/>
      <c r="V72" s="12"/>
    </row>
    <row r="73" spans="1:22" ht="39" customHeight="1" x14ac:dyDescent="0.25">
      <c r="A73" s="12" t="s">
        <v>1275</v>
      </c>
      <c r="B73" s="12" t="s">
        <v>163</v>
      </c>
      <c r="C73" s="12" t="s">
        <v>164</v>
      </c>
      <c r="D73" s="12" t="s">
        <v>232</v>
      </c>
      <c r="E73" s="12" t="s">
        <v>212</v>
      </c>
      <c r="F73" s="12" t="s">
        <v>1276</v>
      </c>
      <c r="G73" s="12" t="s">
        <v>915</v>
      </c>
      <c r="H73" s="12" t="s">
        <v>1095</v>
      </c>
      <c r="I73" s="12" t="s">
        <v>1096</v>
      </c>
      <c r="J73" s="45">
        <v>44193</v>
      </c>
      <c r="K73" s="45">
        <v>44119</v>
      </c>
      <c r="L73" s="45">
        <v>44162</v>
      </c>
      <c r="M73" s="12" t="s">
        <v>59</v>
      </c>
      <c r="N73" s="12" t="s">
        <v>1277</v>
      </c>
      <c r="O73" s="12" t="s">
        <v>60</v>
      </c>
      <c r="P73" s="12"/>
      <c r="Q73" s="12"/>
      <c r="R73" s="12" t="s">
        <v>876</v>
      </c>
      <c r="S73" s="12" t="s">
        <v>60</v>
      </c>
      <c r="T73" s="12"/>
      <c r="U73" s="12"/>
      <c r="V73" s="12"/>
    </row>
    <row r="74" spans="1:22" ht="39" customHeight="1" x14ac:dyDescent="0.25">
      <c r="A74" s="12" t="s">
        <v>1278</v>
      </c>
      <c r="B74" s="12" t="s">
        <v>163</v>
      </c>
      <c r="C74" s="12" t="s">
        <v>164</v>
      </c>
      <c r="D74" s="12" t="s">
        <v>232</v>
      </c>
      <c r="E74" s="12" t="s">
        <v>212</v>
      </c>
      <c r="F74" s="12" t="s">
        <v>1279</v>
      </c>
      <c r="G74" s="12" t="s">
        <v>915</v>
      </c>
      <c r="H74" s="12" t="s">
        <v>1095</v>
      </c>
      <c r="I74" s="12" t="s">
        <v>1096</v>
      </c>
      <c r="J74" s="45">
        <v>43944</v>
      </c>
      <c r="K74" s="45">
        <v>43929</v>
      </c>
      <c r="L74" s="45">
        <v>43913</v>
      </c>
      <c r="M74" s="12" t="s">
        <v>91</v>
      </c>
      <c r="N74" s="12" t="s">
        <v>1277</v>
      </c>
      <c r="O74" s="12" t="s">
        <v>60</v>
      </c>
      <c r="P74" s="12"/>
      <c r="Q74" s="12"/>
      <c r="R74" s="12" t="s">
        <v>879</v>
      </c>
      <c r="S74" s="12" t="s">
        <v>60</v>
      </c>
      <c r="T74" s="12"/>
      <c r="U74" s="12"/>
      <c r="V74" s="12"/>
    </row>
    <row r="75" spans="1:22" ht="39" customHeight="1" x14ac:dyDescent="0.25">
      <c r="A75" s="12" t="s">
        <v>1280</v>
      </c>
      <c r="B75" s="12" t="s">
        <v>163</v>
      </c>
      <c r="C75" s="12" t="s">
        <v>164</v>
      </c>
      <c r="D75" s="12" t="s">
        <v>236</v>
      </c>
      <c r="E75" s="12" t="s">
        <v>212</v>
      </c>
      <c r="F75" s="12" t="s">
        <v>1281</v>
      </c>
      <c r="G75" s="12" t="s">
        <v>915</v>
      </c>
      <c r="H75" s="12" t="s">
        <v>1157</v>
      </c>
      <c r="I75" s="12" t="s">
        <v>1157</v>
      </c>
      <c r="J75" s="45">
        <v>43831</v>
      </c>
      <c r="K75" s="45">
        <v>43770</v>
      </c>
      <c r="L75" s="45">
        <v>43770</v>
      </c>
      <c r="M75" s="12" t="s">
        <v>91</v>
      </c>
      <c r="N75" s="12" t="s">
        <v>1277</v>
      </c>
      <c r="O75" s="12" t="s">
        <v>60</v>
      </c>
      <c r="P75" s="12"/>
      <c r="Q75" s="12"/>
      <c r="R75" s="12"/>
      <c r="S75" s="12" t="s">
        <v>60</v>
      </c>
      <c r="T75" s="12"/>
      <c r="U75" s="12"/>
      <c r="V75" s="12"/>
    </row>
    <row r="76" spans="1:22" ht="65.099999999999994" customHeight="1" x14ac:dyDescent="0.25">
      <c r="A76" s="12" t="s">
        <v>1282</v>
      </c>
      <c r="B76" s="12" t="s">
        <v>163</v>
      </c>
      <c r="C76" s="12" t="s">
        <v>164</v>
      </c>
      <c r="D76" s="12" t="s">
        <v>55</v>
      </c>
      <c r="E76" s="12" t="s">
        <v>212</v>
      </c>
      <c r="F76" s="12" t="s">
        <v>1283</v>
      </c>
      <c r="G76" s="12" t="s">
        <v>915</v>
      </c>
      <c r="H76" s="12" t="s">
        <v>1095</v>
      </c>
      <c r="I76" s="12" t="s">
        <v>1096</v>
      </c>
      <c r="J76" s="45">
        <v>43405</v>
      </c>
      <c r="K76" s="45">
        <v>43405</v>
      </c>
      <c r="L76" s="45">
        <v>43404</v>
      </c>
      <c r="M76" s="12" t="s">
        <v>91</v>
      </c>
      <c r="N76" s="12" t="s">
        <v>1277</v>
      </c>
      <c r="O76" s="12" t="s">
        <v>60</v>
      </c>
      <c r="P76" s="12"/>
      <c r="Q76" s="12"/>
      <c r="R76" s="12" t="s">
        <v>883</v>
      </c>
      <c r="S76" s="12" t="s">
        <v>60</v>
      </c>
      <c r="T76" s="12"/>
      <c r="U76" s="12"/>
      <c r="V76" s="12"/>
    </row>
    <row r="77" spans="1:22" ht="39" customHeight="1" x14ac:dyDescent="0.25">
      <c r="A77" s="12" t="s">
        <v>1277</v>
      </c>
      <c r="B77" s="12" t="s">
        <v>163</v>
      </c>
      <c r="C77" s="12" t="s">
        <v>164</v>
      </c>
      <c r="D77" s="12" t="s">
        <v>67</v>
      </c>
      <c r="E77" s="12" t="s">
        <v>212</v>
      </c>
      <c r="F77" s="12" t="s">
        <v>1284</v>
      </c>
      <c r="G77" s="12" t="s">
        <v>915</v>
      </c>
      <c r="H77" s="12" t="s">
        <v>1285</v>
      </c>
      <c r="I77" s="12" t="s">
        <v>1105</v>
      </c>
      <c r="J77" s="45">
        <v>42370</v>
      </c>
      <c r="K77" s="45"/>
      <c r="L77" s="45">
        <v>41758</v>
      </c>
      <c r="M77" s="12" t="s">
        <v>91</v>
      </c>
      <c r="N77" s="12"/>
      <c r="O77" s="12" t="s">
        <v>60</v>
      </c>
      <c r="P77" s="12"/>
      <c r="Q77" s="12"/>
      <c r="R77" s="12"/>
      <c r="S77" s="12" t="s">
        <v>60</v>
      </c>
      <c r="T77" s="12"/>
      <c r="U77" s="12"/>
      <c r="V77" s="12"/>
    </row>
    <row r="78" spans="1:22" ht="39" customHeight="1" x14ac:dyDescent="0.25">
      <c r="A78" s="12" t="s">
        <v>1286</v>
      </c>
      <c r="B78" s="12" t="s">
        <v>166</v>
      </c>
      <c r="C78" s="12" t="s">
        <v>167</v>
      </c>
      <c r="D78" s="12" t="s">
        <v>67</v>
      </c>
      <c r="E78" s="12" t="s">
        <v>212</v>
      </c>
      <c r="F78" s="12" t="s">
        <v>1287</v>
      </c>
      <c r="G78" s="12" t="s">
        <v>915</v>
      </c>
      <c r="H78" s="12" t="s">
        <v>1095</v>
      </c>
      <c r="I78" s="12" t="s">
        <v>1096</v>
      </c>
      <c r="J78" s="45">
        <v>42552</v>
      </c>
      <c r="K78" s="45">
        <v>41771</v>
      </c>
      <c r="L78" s="45">
        <v>41819</v>
      </c>
      <c r="M78" s="12" t="s">
        <v>91</v>
      </c>
      <c r="N78" s="12"/>
      <c r="O78" s="12" t="s">
        <v>215</v>
      </c>
      <c r="P78" s="12" t="s">
        <v>1288</v>
      </c>
      <c r="Q78" s="12"/>
      <c r="R78" s="12" t="s">
        <v>906</v>
      </c>
      <c r="S78" s="12" t="s">
        <v>60</v>
      </c>
      <c r="T78" s="12"/>
      <c r="U78" s="12"/>
      <c r="V78" s="12"/>
    </row>
    <row r="79" spans="1:22" ht="26.1" customHeight="1" x14ac:dyDescent="0.25">
      <c r="A79" s="12" t="s">
        <v>1289</v>
      </c>
      <c r="B79" s="12" t="s">
        <v>166</v>
      </c>
      <c r="C79" s="12" t="s">
        <v>167</v>
      </c>
      <c r="D79" s="12" t="s">
        <v>224</v>
      </c>
      <c r="E79" s="12" t="s">
        <v>212</v>
      </c>
      <c r="F79" s="12" t="s">
        <v>1290</v>
      </c>
      <c r="G79" s="12" t="s">
        <v>915</v>
      </c>
      <c r="H79" s="12" t="s">
        <v>1124</v>
      </c>
      <c r="I79" s="12" t="s">
        <v>1105</v>
      </c>
      <c r="J79" s="45">
        <v>44926</v>
      </c>
      <c r="K79" s="45">
        <v>44911</v>
      </c>
      <c r="L79" s="45">
        <v>44911</v>
      </c>
      <c r="M79" s="12" t="s">
        <v>91</v>
      </c>
      <c r="N79" s="12" t="s">
        <v>1286</v>
      </c>
      <c r="O79" s="12" t="s">
        <v>60</v>
      </c>
      <c r="P79" s="12"/>
      <c r="Q79" s="12"/>
      <c r="R79" s="12" t="s">
        <v>1291</v>
      </c>
      <c r="S79" s="12" t="s">
        <v>215</v>
      </c>
      <c r="T79" s="12" t="s">
        <v>1292</v>
      </c>
      <c r="U79" s="12">
        <v>16</v>
      </c>
      <c r="V79" s="12"/>
    </row>
    <row r="80" spans="1:22" ht="26.1" customHeight="1" x14ac:dyDescent="0.25">
      <c r="A80" s="12" t="s">
        <v>1293</v>
      </c>
      <c r="B80" s="12" t="s">
        <v>166</v>
      </c>
      <c r="C80" s="12" t="s">
        <v>167</v>
      </c>
      <c r="D80" s="12" t="s">
        <v>232</v>
      </c>
      <c r="E80" s="12" t="s">
        <v>212</v>
      </c>
      <c r="F80" s="12" t="s">
        <v>1294</v>
      </c>
      <c r="G80" s="12" t="s">
        <v>915</v>
      </c>
      <c r="H80" s="12" t="s">
        <v>1124</v>
      </c>
      <c r="I80" s="12" t="s">
        <v>1105</v>
      </c>
      <c r="J80" s="45">
        <v>44196</v>
      </c>
      <c r="K80" s="45">
        <v>44173</v>
      </c>
      <c r="L80" s="45">
        <v>44140</v>
      </c>
      <c r="M80" s="12" t="s">
        <v>91</v>
      </c>
      <c r="N80" s="12" t="s">
        <v>1286</v>
      </c>
      <c r="O80" s="12" t="s">
        <v>215</v>
      </c>
      <c r="P80" s="12" t="s">
        <v>1295</v>
      </c>
      <c r="Q80" s="12"/>
      <c r="R80" s="12" t="s">
        <v>921</v>
      </c>
      <c r="S80" s="12" t="s">
        <v>215</v>
      </c>
      <c r="T80" s="12" t="s">
        <v>1296</v>
      </c>
      <c r="U80" s="12">
        <v>24</v>
      </c>
      <c r="V80" s="12"/>
    </row>
    <row r="81" spans="1:22" ht="26.1" customHeight="1" x14ac:dyDescent="0.25">
      <c r="A81" s="12" t="s">
        <v>1297</v>
      </c>
      <c r="B81" s="12" t="s">
        <v>166</v>
      </c>
      <c r="C81" s="12" t="s">
        <v>167</v>
      </c>
      <c r="D81" s="12" t="s">
        <v>252</v>
      </c>
      <c r="E81" s="12" t="s">
        <v>212</v>
      </c>
      <c r="F81" s="12" t="s">
        <v>1298</v>
      </c>
      <c r="G81" s="12" t="s">
        <v>915</v>
      </c>
      <c r="H81" s="12" t="s">
        <v>1124</v>
      </c>
      <c r="I81" s="12" t="s">
        <v>1105</v>
      </c>
      <c r="J81" s="45">
        <v>45657</v>
      </c>
      <c r="K81" s="45">
        <v>45561</v>
      </c>
      <c r="L81" s="45">
        <v>45561</v>
      </c>
      <c r="M81" s="12" t="s">
        <v>59</v>
      </c>
      <c r="N81" s="12"/>
      <c r="O81" s="12" t="s">
        <v>60</v>
      </c>
      <c r="P81" s="12"/>
      <c r="Q81" s="12"/>
      <c r="R81" s="12" t="s">
        <v>1299</v>
      </c>
      <c r="S81" s="12" t="s">
        <v>215</v>
      </c>
      <c r="T81" s="12"/>
      <c r="U81" s="12"/>
      <c r="V81" s="12"/>
    </row>
    <row r="82" spans="1:22" ht="26.1" customHeight="1" x14ac:dyDescent="0.25">
      <c r="A82" s="12" t="s">
        <v>1300</v>
      </c>
      <c r="B82" s="12" t="s">
        <v>169</v>
      </c>
      <c r="C82" s="12" t="s">
        <v>1301</v>
      </c>
      <c r="D82" s="12" t="s">
        <v>83</v>
      </c>
      <c r="E82" s="12" t="s">
        <v>1204</v>
      </c>
      <c r="F82" s="12" t="s">
        <v>1302</v>
      </c>
      <c r="G82" s="12" t="s">
        <v>915</v>
      </c>
      <c r="H82" s="12" t="s">
        <v>1124</v>
      </c>
      <c r="I82" s="12" t="s">
        <v>1105</v>
      </c>
      <c r="J82" s="45">
        <v>43101</v>
      </c>
      <c r="K82" s="45">
        <v>42748</v>
      </c>
      <c r="L82" s="45">
        <v>42968</v>
      </c>
      <c r="M82" s="12" t="s">
        <v>91</v>
      </c>
      <c r="N82" s="12"/>
      <c r="O82" s="12" t="s">
        <v>215</v>
      </c>
      <c r="P82" s="12" t="s">
        <v>1303</v>
      </c>
      <c r="Q82" s="12" t="s">
        <v>1304</v>
      </c>
      <c r="R82" s="12" t="s">
        <v>1305</v>
      </c>
      <c r="S82" s="12" t="s">
        <v>60</v>
      </c>
      <c r="T82" s="12"/>
      <c r="U82" s="12"/>
      <c r="V82" s="12"/>
    </row>
    <row r="83" spans="1:22" ht="65.099999999999994" customHeight="1" x14ac:dyDescent="0.25">
      <c r="A83" s="12" t="s">
        <v>1306</v>
      </c>
      <c r="B83" s="12" t="s">
        <v>169</v>
      </c>
      <c r="C83" s="12" t="s">
        <v>1301</v>
      </c>
      <c r="D83" s="12" t="s">
        <v>232</v>
      </c>
      <c r="E83" s="12" t="s">
        <v>1307</v>
      </c>
      <c r="F83" s="12" t="s">
        <v>1308</v>
      </c>
      <c r="G83" s="12" t="s">
        <v>915</v>
      </c>
      <c r="H83" s="12" t="s">
        <v>1157</v>
      </c>
      <c r="I83" s="12" t="s">
        <v>1157</v>
      </c>
      <c r="J83" s="45">
        <v>43909</v>
      </c>
      <c r="K83" s="45">
        <v>43906</v>
      </c>
      <c r="L83" s="45">
        <v>43915</v>
      </c>
      <c r="M83" s="12" t="s">
        <v>59</v>
      </c>
      <c r="N83" s="12" t="s">
        <v>1300</v>
      </c>
      <c r="O83" s="12" t="s">
        <v>60</v>
      </c>
      <c r="P83" s="12"/>
      <c r="Q83" s="12"/>
      <c r="R83" s="12" t="s">
        <v>1309</v>
      </c>
      <c r="S83" s="12" t="s">
        <v>60</v>
      </c>
      <c r="T83" s="12"/>
      <c r="U83" s="12"/>
      <c r="V83" s="12"/>
    </row>
    <row r="84" spans="1:22" ht="117" customHeight="1" x14ac:dyDescent="0.25">
      <c r="A84" s="12" t="s">
        <v>1310</v>
      </c>
      <c r="B84" s="12" t="s">
        <v>176</v>
      </c>
      <c r="C84" s="12" t="s">
        <v>177</v>
      </c>
      <c r="D84" s="12" t="s">
        <v>220</v>
      </c>
      <c r="E84" s="12" t="s">
        <v>56</v>
      </c>
      <c r="F84" s="12" t="s">
        <v>1311</v>
      </c>
      <c r="G84" s="12" t="s">
        <v>915</v>
      </c>
      <c r="H84" s="12" t="s">
        <v>1312</v>
      </c>
      <c r="I84" s="12" t="s">
        <v>1105</v>
      </c>
      <c r="J84" s="45">
        <v>45566</v>
      </c>
      <c r="K84" s="45">
        <v>45198</v>
      </c>
      <c r="L84" s="45">
        <v>45223</v>
      </c>
      <c r="M84" s="12" t="s">
        <v>59</v>
      </c>
      <c r="N84" s="12"/>
      <c r="O84" s="12" t="s">
        <v>60</v>
      </c>
      <c r="P84" s="12"/>
      <c r="Q84" s="12"/>
      <c r="R84" s="12"/>
      <c r="S84" s="12" t="s">
        <v>215</v>
      </c>
      <c r="T84" s="12"/>
      <c r="U84" s="12">
        <v>19</v>
      </c>
      <c r="V84" s="12"/>
    </row>
    <row r="85" spans="1:22" ht="26.1" customHeight="1" x14ac:dyDescent="0.25">
      <c r="A85" s="12" t="s">
        <v>1313</v>
      </c>
      <c r="B85" s="12" t="s">
        <v>182</v>
      </c>
      <c r="C85" s="12" t="s">
        <v>975</v>
      </c>
      <c r="D85" s="12" t="s">
        <v>220</v>
      </c>
      <c r="E85" s="12" t="s">
        <v>56</v>
      </c>
      <c r="F85" s="12" t="s">
        <v>1314</v>
      </c>
      <c r="G85" s="12" t="s">
        <v>915</v>
      </c>
      <c r="H85" s="12" t="s">
        <v>1095</v>
      </c>
      <c r="I85" s="12" t="s">
        <v>1105</v>
      </c>
      <c r="J85" s="45">
        <v>45292</v>
      </c>
      <c r="K85" s="45">
        <v>43367</v>
      </c>
      <c r="L85" s="45">
        <v>45219</v>
      </c>
      <c r="M85" s="12" t="s">
        <v>91</v>
      </c>
      <c r="N85" s="12" t="s">
        <v>1315</v>
      </c>
      <c r="O85" s="12" t="s">
        <v>60</v>
      </c>
      <c r="P85" s="12"/>
      <c r="Q85" s="12"/>
      <c r="R85" s="12"/>
      <c r="S85" s="12" t="s">
        <v>60</v>
      </c>
      <c r="T85" s="12"/>
      <c r="U85" s="12"/>
      <c r="V85" s="12"/>
    </row>
    <row r="86" spans="1:22" ht="26.1" customHeight="1" x14ac:dyDescent="0.25">
      <c r="A86" s="12" t="s">
        <v>1316</v>
      </c>
      <c r="B86" s="12" t="s">
        <v>182</v>
      </c>
      <c r="C86" s="12" t="s">
        <v>975</v>
      </c>
      <c r="D86" s="12" t="s">
        <v>228</v>
      </c>
      <c r="E86" s="12" t="s">
        <v>212</v>
      </c>
      <c r="F86" s="12" t="s">
        <v>1317</v>
      </c>
      <c r="G86" s="12" t="s">
        <v>915</v>
      </c>
      <c r="H86" s="12" t="s">
        <v>1095</v>
      </c>
      <c r="I86" s="12" t="s">
        <v>1096</v>
      </c>
      <c r="J86" s="45">
        <v>44562</v>
      </c>
      <c r="K86" s="45">
        <v>43367</v>
      </c>
      <c r="L86" s="45">
        <v>44496</v>
      </c>
      <c r="M86" s="12" t="s">
        <v>91</v>
      </c>
      <c r="N86" s="12"/>
      <c r="O86" s="12" t="s">
        <v>60</v>
      </c>
      <c r="P86" s="12"/>
      <c r="Q86" s="12"/>
      <c r="R86" s="12"/>
      <c r="S86" s="12" t="s">
        <v>60</v>
      </c>
      <c r="T86" s="12"/>
      <c r="U86" s="12"/>
      <c r="V86" s="12"/>
    </row>
    <row r="87" spans="1:22" ht="117" customHeight="1" x14ac:dyDescent="0.25">
      <c r="A87" s="12" t="s">
        <v>1315</v>
      </c>
      <c r="B87" s="12" t="s">
        <v>182</v>
      </c>
      <c r="C87" s="12" t="s">
        <v>975</v>
      </c>
      <c r="D87" s="12" t="s">
        <v>55</v>
      </c>
      <c r="E87" s="12" t="s">
        <v>56</v>
      </c>
      <c r="F87" s="12" t="s">
        <v>1318</v>
      </c>
      <c r="G87" s="12" t="s">
        <v>915</v>
      </c>
      <c r="H87" s="12" t="s">
        <v>1095</v>
      </c>
      <c r="I87" s="12" t="s">
        <v>1096</v>
      </c>
      <c r="J87" s="45">
        <v>43281</v>
      </c>
      <c r="K87" s="45">
        <v>43087</v>
      </c>
      <c r="L87" s="45">
        <v>43133</v>
      </c>
      <c r="M87" s="12" t="s">
        <v>91</v>
      </c>
      <c r="N87" s="12"/>
      <c r="O87" s="12" t="s">
        <v>60</v>
      </c>
      <c r="P87" s="12"/>
      <c r="Q87" s="12"/>
      <c r="R87" s="12"/>
      <c r="S87" s="12" t="s">
        <v>60</v>
      </c>
      <c r="T87" s="12"/>
      <c r="U87" s="12"/>
      <c r="V87" s="12"/>
    </row>
    <row r="88" spans="1:22" ht="39" customHeight="1" x14ac:dyDescent="0.25">
      <c r="A88" s="12" t="s">
        <v>1319</v>
      </c>
      <c r="B88" s="12" t="s">
        <v>182</v>
      </c>
      <c r="C88" s="12" t="s">
        <v>183</v>
      </c>
      <c r="D88" s="12" t="s">
        <v>126</v>
      </c>
      <c r="E88" s="12" t="s">
        <v>56</v>
      </c>
      <c r="F88" s="12" t="s">
        <v>1320</v>
      </c>
      <c r="G88" s="12" t="s">
        <v>915</v>
      </c>
      <c r="H88" s="12" t="s">
        <v>1157</v>
      </c>
      <c r="I88" s="12" t="s">
        <v>1157</v>
      </c>
      <c r="J88" s="45">
        <v>42795</v>
      </c>
      <c r="K88" s="45">
        <v>42717</v>
      </c>
      <c r="L88" s="45">
        <v>42732</v>
      </c>
      <c r="M88" s="12" t="s">
        <v>91</v>
      </c>
      <c r="N88" s="12" t="s">
        <v>1321</v>
      </c>
      <c r="O88" s="12" t="s">
        <v>60</v>
      </c>
      <c r="P88" s="12"/>
      <c r="Q88" s="12"/>
      <c r="R88" s="12" t="s">
        <v>1322</v>
      </c>
      <c r="S88" s="12" t="s">
        <v>60</v>
      </c>
      <c r="T88" s="12"/>
      <c r="U88" s="12"/>
      <c r="V88" s="12"/>
    </row>
    <row r="89" spans="1:22" ht="75" x14ac:dyDescent="0.25">
      <c r="A89" s="12" t="s">
        <v>1323</v>
      </c>
      <c r="B89" s="12" t="s">
        <v>182</v>
      </c>
      <c r="C89" s="12" t="s">
        <v>975</v>
      </c>
      <c r="D89" s="12" t="s">
        <v>55</v>
      </c>
      <c r="E89" s="12" t="s">
        <v>56</v>
      </c>
      <c r="F89" s="12" t="s">
        <v>1324</v>
      </c>
      <c r="G89" s="12" t="s">
        <v>915</v>
      </c>
      <c r="H89" s="12" t="s">
        <v>1095</v>
      </c>
      <c r="I89" s="12" t="s">
        <v>1096</v>
      </c>
      <c r="J89" s="45">
        <v>43466</v>
      </c>
      <c r="K89" s="45">
        <v>43367</v>
      </c>
      <c r="L89" s="45">
        <v>43392</v>
      </c>
      <c r="M89" s="12" t="s">
        <v>91</v>
      </c>
      <c r="N89" s="12" t="s">
        <v>1315</v>
      </c>
      <c r="O89" s="12" t="s">
        <v>60</v>
      </c>
      <c r="P89" s="12"/>
      <c r="Q89" s="12"/>
      <c r="R89" s="12" t="s">
        <v>1325</v>
      </c>
      <c r="S89" s="12" t="s">
        <v>60</v>
      </c>
      <c r="T89" s="12"/>
      <c r="U89" s="12"/>
      <c r="V89" s="12"/>
    </row>
    <row r="90" spans="1:22" ht="45" x14ac:dyDescent="0.25">
      <c r="A90" s="12" t="s">
        <v>1326</v>
      </c>
      <c r="B90" s="12" t="s">
        <v>182</v>
      </c>
      <c r="C90" s="12" t="s">
        <v>975</v>
      </c>
      <c r="D90" s="12" t="s">
        <v>228</v>
      </c>
      <c r="E90" s="12" t="s">
        <v>212</v>
      </c>
      <c r="F90" s="12" t="s">
        <v>1317</v>
      </c>
      <c r="G90" s="12" t="s">
        <v>915</v>
      </c>
      <c r="H90" s="12" t="s">
        <v>1095</v>
      </c>
      <c r="I90" s="12" t="s">
        <v>1096</v>
      </c>
      <c r="J90" s="45">
        <v>44197</v>
      </c>
      <c r="K90" s="45">
        <v>43367</v>
      </c>
      <c r="L90" s="45">
        <v>44287</v>
      </c>
      <c r="M90" s="12" t="s">
        <v>91</v>
      </c>
      <c r="N90" s="12" t="s">
        <v>1321</v>
      </c>
      <c r="O90" s="12" t="s">
        <v>60</v>
      </c>
      <c r="P90" s="12"/>
      <c r="Q90" s="12"/>
      <c r="R90" s="12"/>
      <c r="S90" s="12" t="s">
        <v>60</v>
      </c>
      <c r="T90" s="12"/>
      <c r="U90" s="12"/>
      <c r="V90" s="12"/>
    </row>
    <row r="91" spans="1:22" ht="45" x14ac:dyDescent="0.25">
      <c r="A91" s="12" t="s">
        <v>1327</v>
      </c>
      <c r="B91" s="12" t="s">
        <v>182</v>
      </c>
      <c r="C91" s="12" t="s">
        <v>975</v>
      </c>
      <c r="D91" s="12" t="s">
        <v>55</v>
      </c>
      <c r="E91" s="12" t="s">
        <v>212</v>
      </c>
      <c r="F91" s="12" t="s">
        <v>1317</v>
      </c>
      <c r="G91" s="12" t="s">
        <v>915</v>
      </c>
      <c r="H91" s="12" t="s">
        <v>1095</v>
      </c>
      <c r="I91" s="12" t="s">
        <v>1096</v>
      </c>
      <c r="J91" s="45">
        <v>44378</v>
      </c>
      <c r="K91" s="45">
        <v>43367</v>
      </c>
      <c r="L91" s="45">
        <v>44358</v>
      </c>
      <c r="M91" s="12" t="s">
        <v>91</v>
      </c>
      <c r="N91" s="12" t="s">
        <v>1321</v>
      </c>
      <c r="O91" s="12" t="s">
        <v>60</v>
      </c>
      <c r="P91" s="12"/>
      <c r="Q91" s="12"/>
      <c r="R91" s="12"/>
      <c r="S91" s="12" t="s">
        <v>60</v>
      </c>
      <c r="T91" s="12"/>
      <c r="U91" s="12"/>
      <c r="V91" s="12"/>
    </row>
    <row r="92" spans="1:22" ht="105" x14ac:dyDescent="0.25">
      <c r="A92" s="12" t="s">
        <v>1321</v>
      </c>
      <c r="B92" s="12" t="s">
        <v>182</v>
      </c>
      <c r="C92" s="12" t="s">
        <v>183</v>
      </c>
      <c r="D92" s="12" t="s">
        <v>77</v>
      </c>
      <c r="E92" s="12" t="s">
        <v>56</v>
      </c>
      <c r="F92" s="12" t="s">
        <v>1328</v>
      </c>
      <c r="G92" s="12" t="s">
        <v>915</v>
      </c>
      <c r="H92" s="12" t="s">
        <v>1095</v>
      </c>
      <c r="I92" s="12" t="s">
        <v>1096</v>
      </c>
      <c r="J92" s="45">
        <v>42460</v>
      </c>
      <c r="K92" s="45"/>
      <c r="L92" s="45">
        <v>42335</v>
      </c>
      <c r="M92" s="12" t="s">
        <v>91</v>
      </c>
      <c r="N92" s="12"/>
      <c r="O92" s="12" t="s">
        <v>60</v>
      </c>
      <c r="P92" s="12"/>
      <c r="Q92" s="12"/>
      <c r="R92" s="12"/>
      <c r="S92" s="12" t="s">
        <v>60</v>
      </c>
      <c r="T92" s="12"/>
      <c r="U92" s="12"/>
      <c r="V92" s="12"/>
    </row>
    <row r="93" spans="1:22" ht="60" x14ac:dyDescent="0.25">
      <c r="A93" s="12" t="s">
        <v>1329</v>
      </c>
      <c r="B93" s="12" t="s">
        <v>182</v>
      </c>
      <c r="C93" s="12" t="s">
        <v>975</v>
      </c>
      <c r="D93" s="12" t="s">
        <v>224</v>
      </c>
      <c r="E93" s="12" t="s">
        <v>56</v>
      </c>
      <c r="F93" s="12" t="s">
        <v>1330</v>
      </c>
      <c r="G93" s="12" t="s">
        <v>915</v>
      </c>
      <c r="H93" s="12" t="s">
        <v>1095</v>
      </c>
      <c r="I93" s="12" t="s">
        <v>1105</v>
      </c>
      <c r="J93" s="45">
        <v>44743</v>
      </c>
      <c r="K93" s="45">
        <v>43367</v>
      </c>
      <c r="L93" s="45">
        <v>44741</v>
      </c>
      <c r="M93" s="12" t="s">
        <v>91</v>
      </c>
      <c r="N93" s="12" t="s">
        <v>1321</v>
      </c>
      <c r="O93" s="12" t="s">
        <v>60</v>
      </c>
      <c r="P93" s="12"/>
      <c r="Q93" s="12"/>
      <c r="R93" s="12"/>
      <c r="S93" s="12" t="s">
        <v>60</v>
      </c>
      <c r="T93" s="12"/>
      <c r="U93" s="12"/>
      <c r="V93" s="12"/>
    </row>
    <row r="94" spans="1:22" ht="60" x14ac:dyDescent="0.25">
      <c r="A94" s="12" t="s">
        <v>1331</v>
      </c>
      <c r="B94" s="12" t="s">
        <v>182</v>
      </c>
      <c r="C94" s="12" t="s">
        <v>975</v>
      </c>
      <c r="D94" s="12" t="s">
        <v>224</v>
      </c>
      <c r="E94" s="12" t="s">
        <v>56</v>
      </c>
      <c r="F94" s="12" t="s">
        <v>1330</v>
      </c>
      <c r="G94" s="12" t="s">
        <v>915</v>
      </c>
      <c r="H94" s="12" t="s">
        <v>1095</v>
      </c>
      <c r="I94" s="12" t="s">
        <v>1105</v>
      </c>
      <c r="J94" s="45">
        <v>44927</v>
      </c>
      <c r="K94" s="45">
        <v>43367</v>
      </c>
      <c r="L94" s="45">
        <v>44855</v>
      </c>
      <c r="M94" s="12" t="s">
        <v>91</v>
      </c>
      <c r="N94" s="12" t="s">
        <v>1321</v>
      </c>
      <c r="O94" s="12" t="s">
        <v>60</v>
      </c>
      <c r="P94" s="12"/>
      <c r="Q94" s="12"/>
      <c r="R94" s="12"/>
      <c r="S94" s="12" t="s">
        <v>60</v>
      </c>
      <c r="T94" s="12"/>
      <c r="U94" s="12"/>
      <c r="V94" s="12"/>
    </row>
    <row r="95" spans="1:22" ht="60" x14ac:dyDescent="0.25">
      <c r="A95" s="12" t="s">
        <v>1332</v>
      </c>
      <c r="B95" s="12" t="s">
        <v>182</v>
      </c>
      <c r="C95" s="12" t="s">
        <v>975</v>
      </c>
      <c r="D95" s="12" t="s">
        <v>220</v>
      </c>
      <c r="E95" s="12" t="s">
        <v>56</v>
      </c>
      <c r="F95" s="12" t="s">
        <v>1330</v>
      </c>
      <c r="G95" s="12" t="s">
        <v>915</v>
      </c>
      <c r="H95" s="12" t="s">
        <v>1095</v>
      </c>
      <c r="I95" s="12" t="s">
        <v>1105</v>
      </c>
      <c r="J95" s="45">
        <v>45108</v>
      </c>
      <c r="K95" s="45">
        <v>43367</v>
      </c>
      <c r="L95" s="45">
        <v>45100</v>
      </c>
      <c r="M95" s="12" t="s">
        <v>91</v>
      </c>
      <c r="N95" s="12" t="s">
        <v>1321</v>
      </c>
      <c r="O95" s="12" t="s">
        <v>60</v>
      </c>
      <c r="P95" s="12"/>
      <c r="Q95" s="12"/>
      <c r="R95" s="12"/>
      <c r="S95" s="12" t="s">
        <v>215</v>
      </c>
      <c r="T95" s="12"/>
      <c r="U95" s="12"/>
      <c r="V95" s="12"/>
    </row>
    <row r="96" spans="1:22" ht="195" x14ac:dyDescent="0.25">
      <c r="A96" s="12" t="s">
        <v>1333</v>
      </c>
      <c r="B96" s="12" t="s">
        <v>182</v>
      </c>
      <c r="C96" s="12" t="s">
        <v>975</v>
      </c>
      <c r="D96" s="12" t="s">
        <v>55</v>
      </c>
      <c r="E96" s="12" t="s">
        <v>56</v>
      </c>
      <c r="F96" s="12" t="s">
        <v>1334</v>
      </c>
      <c r="G96" s="12" t="s">
        <v>915</v>
      </c>
      <c r="H96" s="12"/>
      <c r="I96" s="12" t="s">
        <v>1105</v>
      </c>
      <c r="J96" s="45">
        <v>45474</v>
      </c>
      <c r="K96" s="45">
        <v>43367</v>
      </c>
      <c r="L96" s="45">
        <v>45461</v>
      </c>
      <c r="M96" s="12" t="s">
        <v>59</v>
      </c>
      <c r="N96" s="12"/>
      <c r="O96" s="12" t="s">
        <v>60</v>
      </c>
      <c r="P96" s="12"/>
      <c r="Q96" s="12"/>
      <c r="R96" s="12"/>
      <c r="S96" s="12" t="s">
        <v>60</v>
      </c>
      <c r="T96" s="12"/>
      <c r="U96" s="12"/>
      <c r="V96" s="12"/>
    </row>
    <row r="97" spans="1:22" ht="60" x14ac:dyDescent="0.25">
      <c r="A97" s="12" t="s">
        <v>1335</v>
      </c>
      <c r="B97" s="12" t="s">
        <v>186</v>
      </c>
      <c r="C97" s="12" t="s">
        <v>187</v>
      </c>
      <c r="D97" s="12" t="s">
        <v>126</v>
      </c>
      <c r="E97" s="12" t="s">
        <v>212</v>
      </c>
      <c r="F97" s="12" t="s">
        <v>1336</v>
      </c>
      <c r="G97" s="12" t="s">
        <v>915</v>
      </c>
      <c r="H97" s="12" t="s">
        <v>1124</v>
      </c>
      <c r="I97" s="12" t="s">
        <v>1105</v>
      </c>
      <c r="J97" s="45">
        <v>42736</v>
      </c>
      <c r="K97" s="45">
        <v>42514</v>
      </c>
      <c r="L97" s="45">
        <v>42489</v>
      </c>
      <c r="M97" s="12" t="s">
        <v>91</v>
      </c>
      <c r="N97" s="12" t="s">
        <v>1337</v>
      </c>
      <c r="O97" s="12" t="s">
        <v>60</v>
      </c>
      <c r="P97" s="12"/>
      <c r="Q97" s="12"/>
      <c r="R97" s="12" t="s">
        <v>1338</v>
      </c>
      <c r="S97" s="12" t="s">
        <v>60</v>
      </c>
      <c r="T97" s="12"/>
      <c r="U97" s="12"/>
      <c r="V97" s="12"/>
    </row>
    <row r="98" spans="1:22" ht="45" x14ac:dyDescent="0.25">
      <c r="A98" s="12" t="s">
        <v>1339</v>
      </c>
      <c r="B98" s="12" t="s">
        <v>186</v>
      </c>
      <c r="C98" s="12" t="s">
        <v>187</v>
      </c>
      <c r="D98" s="12" t="s">
        <v>83</v>
      </c>
      <c r="E98" s="12" t="s">
        <v>212</v>
      </c>
      <c r="F98" s="12" t="s">
        <v>1340</v>
      </c>
      <c r="G98" s="12" t="s">
        <v>915</v>
      </c>
      <c r="H98" s="12" t="s">
        <v>1124</v>
      </c>
      <c r="I98" s="12" t="s">
        <v>1105</v>
      </c>
      <c r="J98" s="45">
        <v>43101</v>
      </c>
      <c r="K98" s="45">
        <v>42885</v>
      </c>
      <c r="L98" s="45">
        <v>42853</v>
      </c>
      <c r="M98" s="12" t="s">
        <v>91</v>
      </c>
      <c r="N98" s="12" t="s">
        <v>1337</v>
      </c>
      <c r="O98" s="12" t="s">
        <v>60</v>
      </c>
      <c r="P98" s="12"/>
      <c r="Q98" s="12"/>
      <c r="R98" s="12"/>
      <c r="S98" s="12" t="s">
        <v>60</v>
      </c>
      <c r="T98" s="12"/>
      <c r="U98" s="12"/>
      <c r="V98" s="12"/>
    </row>
    <row r="99" spans="1:22" ht="45" x14ac:dyDescent="0.25">
      <c r="A99" s="12" t="s">
        <v>1341</v>
      </c>
      <c r="B99" s="12" t="s">
        <v>186</v>
      </c>
      <c r="C99" s="12" t="s">
        <v>187</v>
      </c>
      <c r="D99" s="12" t="s">
        <v>55</v>
      </c>
      <c r="E99" s="12" t="s">
        <v>212</v>
      </c>
      <c r="F99" s="12" t="s">
        <v>1342</v>
      </c>
      <c r="G99" s="12" t="s">
        <v>915</v>
      </c>
      <c r="H99" s="12" t="s">
        <v>1124</v>
      </c>
      <c r="I99" s="12" t="s">
        <v>1105</v>
      </c>
      <c r="J99" s="45">
        <v>43466</v>
      </c>
      <c r="K99" s="45">
        <v>43249</v>
      </c>
      <c r="L99" s="45">
        <v>43216</v>
      </c>
      <c r="M99" s="12" t="s">
        <v>91</v>
      </c>
      <c r="N99" s="12" t="s">
        <v>1337</v>
      </c>
      <c r="O99" s="12" t="s">
        <v>60</v>
      </c>
      <c r="P99" s="12"/>
      <c r="Q99" s="12"/>
      <c r="R99" s="12"/>
      <c r="S99" s="12" t="s">
        <v>60</v>
      </c>
      <c r="T99" s="12"/>
      <c r="U99" s="12"/>
      <c r="V99" s="12"/>
    </row>
    <row r="100" spans="1:22" ht="75" x14ac:dyDescent="0.25">
      <c r="A100" s="12" t="s">
        <v>1337</v>
      </c>
      <c r="B100" s="12" t="s">
        <v>186</v>
      </c>
      <c r="C100" s="12" t="s">
        <v>187</v>
      </c>
      <c r="D100" s="12" t="s">
        <v>77</v>
      </c>
      <c r="E100" s="12" t="s">
        <v>212</v>
      </c>
      <c r="F100" s="12" t="s">
        <v>1343</v>
      </c>
      <c r="G100" s="12" t="s">
        <v>915</v>
      </c>
      <c r="H100" s="12" t="s">
        <v>1124</v>
      </c>
      <c r="I100" s="12" t="s">
        <v>1105</v>
      </c>
      <c r="J100" s="45">
        <v>42736</v>
      </c>
      <c r="K100" s="45">
        <v>42150</v>
      </c>
      <c r="L100" s="45">
        <v>42124</v>
      </c>
      <c r="M100" s="12" t="s">
        <v>91</v>
      </c>
      <c r="N100" s="12"/>
      <c r="O100" s="12" t="s">
        <v>60</v>
      </c>
      <c r="P100" s="12"/>
      <c r="Q100" s="12"/>
      <c r="R100" s="12" t="s">
        <v>1344</v>
      </c>
      <c r="S100" s="12" t="s">
        <v>60</v>
      </c>
      <c r="T100" s="12"/>
      <c r="U100" s="12"/>
      <c r="V100" s="12"/>
    </row>
    <row r="101" spans="1:22" ht="45" x14ac:dyDescent="0.25">
      <c r="A101" s="12" t="s">
        <v>1345</v>
      </c>
      <c r="B101" s="12" t="s">
        <v>186</v>
      </c>
      <c r="C101" s="12" t="s">
        <v>187</v>
      </c>
      <c r="D101" s="12" t="s">
        <v>236</v>
      </c>
      <c r="E101" s="12" t="s">
        <v>212</v>
      </c>
      <c r="F101" s="12" t="s">
        <v>1342</v>
      </c>
      <c r="G101" s="12" t="s">
        <v>915</v>
      </c>
      <c r="H101" s="12" t="s">
        <v>1124</v>
      </c>
      <c r="I101" s="12" t="s">
        <v>1105</v>
      </c>
      <c r="J101" s="45">
        <v>43831</v>
      </c>
      <c r="K101" s="45">
        <v>43613</v>
      </c>
      <c r="L101" s="45">
        <v>43592</v>
      </c>
      <c r="M101" s="12" t="s">
        <v>91</v>
      </c>
      <c r="N101" s="12" t="s">
        <v>1337</v>
      </c>
      <c r="O101" s="12" t="s">
        <v>60</v>
      </c>
      <c r="P101" s="12"/>
      <c r="Q101" s="12"/>
      <c r="R101" s="12" t="s">
        <v>1346</v>
      </c>
      <c r="S101" s="12" t="s">
        <v>60</v>
      </c>
      <c r="T101" s="12"/>
      <c r="U101" s="12"/>
      <c r="V101" s="12"/>
    </row>
    <row r="102" spans="1:22" ht="45" x14ac:dyDescent="0.25">
      <c r="A102" s="12" t="s">
        <v>1347</v>
      </c>
      <c r="B102" s="12" t="s">
        <v>186</v>
      </c>
      <c r="C102" s="12" t="s">
        <v>187</v>
      </c>
      <c r="D102" s="12" t="s">
        <v>232</v>
      </c>
      <c r="E102" s="12" t="s">
        <v>212</v>
      </c>
      <c r="F102" s="12" t="s">
        <v>1342</v>
      </c>
      <c r="G102" s="12" t="s">
        <v>915</v>
      </c>
      <c r="H102" s="12" t="s">
        <v>1124</v>
      </c>
      <c r="I102" s="12" t="s">
        <v>1105</v>
      </c>
      <c r="J102" s="45">
        <v>44197</v>
      </c>
      <c r="K102" s="45">
        <v>43977</v>
      </c>
      <c r="L102" s="45">
        <v>43978</v>
      </c>
      <c r="M102" s="12" t="s">
        <v>91</v>
      </c>
      <c r="N102" s="12" t="s">
        <v>1337</v>
      </c>
      <c r="O102" s="12" t="s">
        <v>60</v>
      </c>
      <c r="P102" s="12"/>
      <c r="Q102" s="12"/>
      <c r="R102" s="12" t="s">
        <v>1348</v>
      </c>
      <c r="S102" s="12" t="s">
        <v>60</v>
      </c>
      <c r="T102" s="12"/>
      <c r="U102" s="12"/>
      <c r="V102" s="12"/>
    </row>
    <row r="103" spans="1:22" ht="30" x14ac:dyDescent="0.25">
      <c r="A103" s="12" t="s">
        <v>1349</v>
      </c>
      <c r="B103" s="12" t="s">
        <v>186</v>
      </c>
      <c r="C103" s="12" t="s">
        <v>187</v>
      </c>
      <c r="D103" s="12" t="s">
        <v>228</v>
      </c>
      <c r="E103" s="12" t="s">
        <v>212</v>
      </c>
      <c r="F103" s="12" t="s">
        <v>1350</v>
      </c>
      <c r="G103" s="12" t="s">
        <v>915</v>
      </c>
      <c r="H103" s="12" t="s">
        <v>1157</v>
      </c>
      <c r="I103" s="12" t="s">
        <v>1157</v>
      </c>
      <c r="J103" s="45">
        <v>44562</v>
      </c>
      <c r="K103" s="45">
        <v>44341</v>
      </c>
      <c r="L103" s="45">
        <v>44341</v>
      </c>
      <c r="M103" s="12" t="s">
        <v>59</v>
      </c>
      <c r="N103" s="12" t="s">
        <v>1337</v>
      </c>
      <c r="O103" s="12" t="s">
        <v>60</v>
      </c>
      <c r="P103" s="12"/>
      <c r="Q103" s="12"/>
      <c r="R103" s="12"/>
      <c r="S103" s="12" t="s">
        <v>60</v>
      </c>
      <c r="T103" s="12"/>
      <c r="U103" s="12"/>
      <c r="V103" s="12"/>
    </row>
    <row r="104" spans="1:22" ht="105" x14ac:dyDescent="0.25">
      <c r="A104" s="12" t="s">
        <v>1351</v>
      </c>
      <c r="B104" s="12" t="s">
        <v>191</v>
      </c>
      <c r="C104" s="12" t="s">
        <v>192</v>
      </c>
      <c r="D104" s="12" t="s">
        <v>220</v>
      </c>
      <c r="E104" s="12" t="s">
        <v>212</v>
      </c>
      <c r="F104" s="12" t="s">
        <v>1352</v>
      </c>
      <c r="G104" s="12" t="s">
        <v>915</v>
      </c>
      <c r="H104" s="12" t="s">
        <v>1115</v>
      </c>
      <c r="I104" s="12" t="s">
        <v>1105</v>
      </c>
      <c r="J104" s="45">
        <v>45658</v>
      </c>
      <c r="K104" s="45">
        <v>45279</v>
      </c>
      <c r="L104" s="45">
        <v>45335</v>
      </c>
      <c r="M104" s="12" t="s">
        <v>59</v>
      </c>
      <c r="N104" s="12" t="s">
        <v>1353</v>
      </c>
      <c r="O104" s="12" t="s">
        <v>60</v>
      </c>
      <c r="P104" s="12"/>
      <c r="Q104" s="12"/>
      <c r="R104" s="12"/>
      <c r="S104" s="12" t="s">
        <v>60</v>
      </c>
      <c r="T104" s="12"/>
      <c r="U104" s="12"/>
      <c r="V104" s="12"/>
    </row>
    <row r="105" spans="1:22" ht="75" x14ac:dyDescent="0.25">
      <c r="A105" s="12" t="s">
        <v>1353</v>
      </c>
      <c r="B105" s="12" t="s">
        <v>191</v>
      </c>
      <c r="C105" s="12" t="s">
        <v>192</v>
      </c>
      <c r="D105" s="12" t="s">
        <v>224</v>
      </c>
      <c r="E105" s="12" t="s">
        <v>212</v>
      </c>
      <c r="F105" s="12" t="s">
        <v>1354</v>
      </c>
      <c r="G105" s="12" t="s">
        <v>915</v>
      </c>
      <c r="H105" s="12" t="s">
        <v>1115</v>
      </c>
      <c r="I105" s="12" t="s">
        <v>1105</v>
      </c>
      <c r="J105" s="45">
        <v>44927</v>
      </c>
      <c r="K105" s="45">
        <v>44679</v>
      </c>
      <c r="L105" s="45">
        <v>44671</v>
      </c>
      <c r="M105" s="12" t="s">
        <v>91</v>
      </c>
      <c r="N105" s="12"/>
      <c r="O105" s="12" t="s">
        <v>215</v>
      </c>
      <c r="P105" s="12" t="s">
        <v>1355</v>
      </c>
      <c r="Q105" s="12" t="s">
        <v>1356</v>
      </c>
      <c r="R105" s="12"/>
      <c r="S105" s="12" t="s">
        <v>60</v>
      </c>
      <c r="T105" s="12"/>
      <c r="U105" s="12"/>
      <c r="V105" s="12"/>
    </row>
    <row r="106" spans="1:22" ht="45" x14ac:dyDescent="0.25">
      <c r="A106" s="12" t="s">
        <v>1357</v>
      </c>
      <c r="B106" s="12" t="s">
        <v>191</v>
      </c>
      <c r="C106" s="12" t="s">
        <v>192</v>
      </c>
      <c r="D106" s="12" t="s">
        <v>224</v>
      </c>
      <c r="E106" s="12" t="s">
        <v>212</v>
      </c>
      <c r="F106" s="12" t="s">
        <v>1358</v>
      </c>
      <c r="G106" s="12" t="s">
        <v>915</v>
      </c>
      <c r="H106" s="12" t="s">
        <v>1157</v>
      </c>
      <c r="I106" s="12" t="s">
        <v>1105</v>
      </c>
      <c r="J106" s="45">
        <v>44927</v>
      </c>
      <c r="K106" s="45">
        <v>44679</v>
      </c>
      <c r="L106" s="45">
        <v>44671</v>
      </c>
      <c r="M106" s="12" t="s">
        <v>59</v>
      </c>
      <c r="N106" s="12"/>
      <c r="O106" s="12" t="s">
        <v>60</v>
      </c>
      <c r="P106" s="12"/>
      <c r="Q106" s="12"/>
      <c r="R106" s="12"/>
      <c r="S106" s="12" t="s">
        <v>60</v>
      </c>
      <c r="T106" s="12"/>
      <c r="U106" s="12"/>
      <c r="V106" s="12"/>
    </row>
    <row r="107" spans="1:22" ht="45" x14ac:dyDescent="0.25">
      <c r="A107" s="12" t="s">
        <v>1359</v>
      </c>
      <c r="B107" s="12" t="s">
        <v>197</v>
      </c>
      <c r="C107" s="12" t="s">
        <v>198</v>
      </c>
      <c r="D107" s="12" t="s">
        <v>252</v>
      </c>
      <c r="E107" s="12" t="s">
        <v>56</v>
      </c>
      <c r="F107" s="12" t="s">
        <v>1360</v>
      </c>
      <c r="G107" s="12" t="s">
        <v>915</v>
      </c>
      <c r="H107" s="12" t="s">
        <v>1095</v>
      </c>
      <c r="I107" s="12" t="s">
        <v>1105</v>
      </c>
      <c r="J107" s="45">
        <v>45632</v>
      </c>
      <c r="K107" s="45">
        <v>45632</v>
      </c>
      <c r="L107" s="45">
        <v>45602</v>
      </c>
      <c r="M107" s="12" t="s">
        <v>59</v>
      </c>
      <c r="N107" s="12" t="s">
        <v>1361</v>
      </c>
      <c r="O107" s="12" t="s">
        <v>60</v>
      </c>
      <c r="P107" s="12"/>
      <c r="Q107" s="12"/>
      <c r="R107" s="12" t="s">
        <v>1362</v>
      </c>
      <c r="S107" s="12" t="s">
        <v>60</v>
      </c>
      <c r="T107" s="12"/>
      <c r="U107" s="12"/>
      <c r="V107" s="12"/>
    </row>
    <row r="108" spans="1:22" ht="30" x14ac:dyDescent="0.25">
      <c r="A108" s="12" t="s">
        <v>1361</v>
      </c>
      <c r="B108" s="12" t="s">
        <v>197</v>
      </c>
      <c r="C108" s="12" t="s">
        <v>198</v>
      </c>
      <c r="D108" s="12" t="s">
        <v>224</v>
      </c>
      <c r="E108" s="12" t="s">
        <v>212</v>
      </c>
      <c r="F108" s="12" t="s">
        <v>1363</v>
      </c>
      <c r="G108" s="12" t="s">
        <v>915</v>
      </c>
      <c r="H108" s="12" t="s">
        <v>1095</v>
      </c>
      <c r="I108" s="12" t="s">
        <v>1096</v>
      </c>
      <c r="J108" s="45">
        <v>44910</v>
      </c>
      <c r="K108" s="45">
        <v>44910</v>
      </c>
      <c r="L108" s="45">
        <v>44880</v>
      </c>
      <c r="M108" s="12" t="s">
        <v>59</v>
      </c>
      <c r="N108" s="12"/>
      <c r="O108" s="12" t="s">
        <v>60</v>
      </c>
      <c r="P108" s="12"/>
      <c r="Q108" s="12"/>
      <c r="R108" s="12"/>
      <c r="S108" s="12" t="s">
        <v>60</v>
      </c>
      <c r="T108" s="12"/>
      <c r="U108" s="12"/>
      <c r="V108" s="12"/>
    </row>
    <row r="109" spans="1:22" ht="135" x14ac:dyDescent="0.25">
      <c r="A109" s="12" t="s">
        <v>1364</v>
      </c>
      <c r="B109" s="12" t="s">
        <v>197</v>
      </c>
      <c r="C109" s="12" t="s">
        <v>198</v>
      </c>
      <c r="D109" s="12" t="s">
        <v>67</v>
      </c>
      <c r="E109" s="12" t="s">
        <v>212</v>
      </c>
      <c r="F109" s="12" t="s">
        <v>1365</v>
      </c>
      <c r="G109" s="12" t="s">
        <v>915</v>
      </c>
      <c r="H109" s="12" t="s">
        <v>1095</v>
      </c>
      <c r="I109" s="12" t="s">
        <v>1096</v>
      </c>
      <c r="J109" s="45">
        <v>42005</v>
      </c>
      <c r="K109" s="45"/>
      <c r="L109" s="45">
        <v>41949</v>
      </c>
      <c r="M109" s="12" t="s">
        <v>91</v>
      </c>
      <c r="N109" s="12"/>
      <c r="O109" s="12" t="s">
        <v>60</v>
      </c>
      <c r="P109" s="12"/>
      <c r="Q109" s="12"/>
      <c r="R109" s="12" t="s">
        <v>1366</v>
      </c>
      <c r="S109" s="12" t="s">
        <v>60</v>
      </c>
      <c r="T109" s="12"/>
      <c r="U109" s="12"/>
      <c r="V109" s="12"/>
    </row>
    <row r="110" spans="1:22" ht="45" x14ac:dyDescent="0.25">
      <c r="A110" s="12" t="s">
        <v>1367</v>
      </c>
      <c r="B110" s="12" t="s">
        <v>197</v>
      </c>
      <c r="C110" s="12" t="s">
        <v>198</v>
      </c>
      <c r="D110" s="12" t="s">
        <v>232</v>
      </c>
      <c r="E110" s="12" t="s">
        <v>212</v>
      </c>
      <c r="F110" s="12" t="s">
        <v>1368</v>
      </c>
      <c r="G110" s="12" t="s">
        <v>915</v>
      </c>
      <c r="H110" s="12" t="s">
        <v>1095</v>
      </c>
      <c r="I110" s="12" t="s">
        <v>1105</v>
      </c>
      <c r="J110" s="45">
        <v>44194</v>
      </c>
      <c r="K110" s="45">
        <v>44194</v>
      </c>
      <c r="L110" s="45">
        <v>44162</v>
      </c>
      <c r="M110" s="12" t="s">
        <v>91</v>
      </c>
      <c r="N110" s="12" t="s">
        <v>1364</v>
      </c>
      <c r="O110" s="12" t="s">
        <v>60</v>
      </c>
      <c r="P110" s="12"/>
      <c r="Q110" s="12"/>
      <c r="R110" s="12"/>
      <c r="S110" s="12" t="s">
        <v>60</v>
      </c>
      <c r="T110" s="12"/>
      <c r="U110" s="12"/>
      <c r="V110" s="12"/>
    </row>
    <row r="111" spans="1:22" ht="60" x14ac:dyDescent="0.25">
      <c r="A111" s="12" t="s">
        <v>1369</v>
      </c>
      <c r="B111" s="12" t="s">
        <v>200</v>
      </c>
      <c r="C111" s="12" t="s">
        <v>203</v>
      </c>
      <c r="D111" s="12" t="s">
        <v>232</v>
      </c>
      <c r="E111" s="12" t="s">
        <v>1204</v>
      </c>
      <c r="F111" s="12" t="s">
        <v>1370</v>
      </c>
      <c r="G111" s="12" t="s">
        <v>915</v>
      </c>
      <c r="H111" s="12" t="s">
        <v>1095</v>
      </c>
      <c r="I111" s="12" t="s">
        <v>1105</v>
      </c>
      <c r="J111" s="45">
        <v>44194</v>
      </c>
      <c r="K111" s="45">
        <v>44169</v>
      </c>
      <c r="L111" s="45">
        <v>44179</v>
      </c>
      <c r="M111" s="12" t="s">
        <v>91</v>
      </c>
      <c r="N111" s="12" t="s">
        <v>1371</v>
      </c>
      <c r="O111" s="12" t="s">
        <v>60</v>
      </c>
      <c r="P111" s="12"/>
      <c r="Q111" s="12"/>
      <c r="R111" s="12" t="s">
        <v>1372</v>
      </c>
      <c r="S111" s="12" t="s">
        <v>60</v>
      </c>
      <c r="T111" s="12"/>
      <c r="U111" s="12"/>
      <c r="V111" s="12"/>
    </row>
    <row r="112" spans="1:22" ht="150" x14ac:dyDescent="0.25">
      <c r="A112" s="12" t="s">
        <v>1371</v>
      </c>
      <c r="B112" s="12" t="s">
        <v>200</v>
      </c>
      <c r="C112" s="12" t="s">
        <v>203</v>
      </c>
      <c r="D112" s="12" t="s">
        <v>236</v>
      </c>
      <c r="E112" s="12" t="s">
        <v>1204</v>
      </c>
      <c r="F112" s="12" t="s">
        <v>1373</v>
      </c>
      <c r="G112" s="12" t="s">
        <v>915</v>
      </c>
      <c r="H112" s="12" t="s">
        <v>1095</v>
      </c>
      <c r="I112" s="12" t="s">
        <v>1096</v>
      </c>
      <c r="J112" s="45">
        <v>43676</v>
      </c>
      <c r="K112" s="45">
        <v>43543</v>
      </c>
      <c r="L112" s="45">
        <v>43551</v>
      </c>
      <c r="M112" s="12" t="s">
        <v>91</v>
      </c>
      <c r="N112" s="12"/>
      <c r="O112" s="12" t="s">
        <v>60</v>
      </c>
      <c r="P112" s="12"/>
      <c r="Q112" s="12"/>
      <c r="R112" s="12" t="s">
        <v>1374</v>
      </c>
      <c r="S112" s="12" t="s">
        <v>215</v>
      </c>
      <c r="T112" s="12"/>
      <c r="U112" s="12"/>
      <c r="V112" s="12"/>
    </row>
  </sheetData>
  <mergeCells count="3">
    <mergeCell ref="S4:U4"/>
    <mergeCell ref="J4:L4"/>
    <mergeCell ref="O4:Q4"/>
  </mergeCells>
  <hyperlinks>
    <hyperlink ref="A1" location="'Table of Contents'!A1" display="&lt; Table of Contents" xr:uid="{00000000-0004-0000-0500-000000000000}"/>
  </hyperlinks>
  <pageMargins left="0.7" right="0.7" top="0.75" bottom="0.75" header="0.3" footer="0.3"/>
  <pageSetup paperSize="9" scale="56" fitToHeight="0" orientation="landscape"/>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T192"/>
  <sheetViews>
    <sheetView zoomScaleNormal="100" workbookViewId="0">
      <selection activeCell="E6" sqref="E6"/>
    </sheetView>
  </sheetViews>
  <sheetFormatPr defaultColWidth="9.140625" defaultRowHeight="15" x14ac:dyDescent="0.25"/>
  <cols>
    <col min="1" max="1" width="12.5703125" style="17" customWidth="1"/>
    <col min="2" max="2" width="15.5703125" style="17" customWidth="1"/>
    <col min="3" max="3" width="25.5703125" style="17" customWidth="1"/>
    <col min="4" max="4" width="12.5703125" style="17" customWidth="1"/>
    <col min="5" max="5" width="22.42578125" style="17" customWidth="1"/>
    <col min="6" max="6" width="12.5703125" style="17" customWidth="1"/>
    <col min="7" max="7" width="40.5703125" style="17" customWidth="1"/>
    <col min="8" max="8" width="15.5703125" style="17" customWidth="1"/>
    <col min="9" max="9" width="17.5703125" style="31" customWidth="1"/>
    <col min="10" max="10" width="17.5703125" style="32" customWidth="1"/>
    <col min="11" max="12" width="12.5703125" style="10" customWidth="1"/>
    <col min="13" max="13" width="20.5703125" style="10" customWidth="1"/>
    <col min="14" max="14" width="20.5703125" style="32" customWidth="1"/>
    <col min="15" max="15" width="20.5703125" style="10" customWidth="1"/>
    <col min="16" max="16" width="50.5703125" style="17" customWidth="1"/>
    <col min="17" max="17" width="18.5703125" style="23" customWidth="1"/>
    <col min="18" max="18" width="19.5703125" style="23" customWidth="1"/>
    <col min="19" max="19" width="18.5703125" style="23" customWidth="1"/>
    <col min="20" max="20" width="8.85546875" style="1" customWidth="1"/>
    <col min="21" max="21" width="9.140625" style="17" customWidth="1"/>
    <col min="22" max="16384" width="9.140625" style="17"/>
  </cols>
  <sheetData>
    <row r="1" spans="1:20" s="8" customFormat="1" ht="12.95" customHeight="1" x14ac:dyDescent="0.25">
      <c r="A1" s="36" t="s">
        <v>33</v>
      </c>
      <c r="B1" s="12"/>
      <c r="C1" s="12"/>
      <c r="D1" s="12"/>
      <c r="E1" s="12"/>
      <c r="F1" s="12"/>
      <c r="G1" s="12"/>
      <c r="H1" s="12"/>
      <c r="I1" s="37"/>
      <c r="J1" s="37"/>
      <c r="K1" s="12"/>
      <c r="L1" s="12"/>
      <c r="M1" s="12"/>
      <c r="N1" s="37"/>
      <c r="O1" s="12"/>
      <c r="P1" s="12"/>
      <c r="Q1" s="38"/>
      <c r="R1" s="38"/>
      <c r="S1" s="38"/>
      <c r="T1" s="12"/>
    </row>
    <row r="2" spans="1:20" s="8" customFormat="1" ht="12.95" customHeight="1" x14ac:dyDescent="0.25">
      <c r="A2" s="39"/>
      <c r="B2" s="12"/>
      <c r="C2" s="12"/>
      <c r="D2" s="12"/>
      <c r="E2" s="12"/>
      <c r="F2" s="12"/>
      <c r="G2" s="12"/>
      <c r="H2" s="12"/>
      <c r="I2" s="37"/>
      <c r="J2" s="37"/>
      <c r="K2" s="12"/>
      <c r="L2" s="12"/>
      <c r="M2" s="12"/>
      <c r="N2" s="37"/>
      <c r="O2" s="12"/>
      <c r="P2" s="12"/>
      <c r="Q2" s="38"/>
      <c r="R2" s="38"/>
      <c r="S2" s="38"/>
      <c r="T2" s="12"/>
    </row>
    <row r="3" spans="1:20" s="8" customFormat="1" ht="21" customHeight="1" x14ac:dyDescent="0.35">
      <c r="A3" s="40" t="s">
        <v>16</v>
      </c>
      <c r="B3" s="12"/>
      <c r="C3" s="12"/>
      <c r="D3" s="12"/>
      <c r="E3" s="12"/>
      <c r="F3" s="12"/>
      <c r="G3" s="12"/>
      <c r="H3" s="12"/>
      <c r="I3" s="37"/>
      <c r="J3" s="37"/>
      <c r="K3" s="12"/>
      <c r="L3" s="12"/>
      <c r="M3" s="12"/>
      <c r="N3" s="37"/>
      <c r="O3" s="12"/>
      <c r="P3" s="12"/>
      <c r="Q3" s="38"/>
      <c r="R3" s="38"/>
      <c r="S3" s="38"/>
      <c r="T3" s="12"/>
    </row>
    <row r="4" spans="1:20" s="8" customFormat="1" ht="12.95" customHeight="1" x14ac:dyDescent="0.25">
      <c r="A4" s="39"/>
      <c r="B4" s="12"/>
      <c r="C4" s="12"/>
      <c r="D4" s="12"/>
      <c r="E4" s="12"/>
      <c r="F4" s="12"/>
      <c r="G4" s="12"/>
      <c r="H4" s="12"/>
      <c r="I4" s="59" t="s">
        <v>35</v>
      </c>
      <c r="J4" s="55"/>
      <c r="K4" s="12"/>
      <c r="L4" s="12"/>
      <c r="M4" s="58" t="s">
        <v>36</v>
      </c>
      <c r="N4" s="55"/>
      <c r="O4" s="56"/>
      <c r="P4" s="12"/>
      <c r="Q4" s="54" t="s">
        <v>1086</v>
      </c>
      <c r="R4" s="55"/>
      <c r="S4" s="56"/>
      <c r="T4" s="12"/>
    </row>
    <row r="5" spans="1:20" ht="26.1" customHeight="1" x14ac:dyDescent="0.2">
      <c r="A5" s="41" t="s">
        <v>37</v>
      </c>
      <c r="B5" s="41" t="s">
        <v>38</v>
      </c>
      <c r="C5" s="41" t="s">
        <v>39</v>
      </c>
      <c r="D5" s="41" t="s">
        <v>208</v>
      </c>
      <c r="E5" s="41" t="s">
        <v>1375</v>
      </c>
      <c r="F5" s="41" t="s">
        <v>41</v>
      </c>
      <c r="G5" s="41" t="s">
        <v>42</v>
      </c>
      <c r="H5" s="41" t="s">
        <v>210</v>
      </c>
      <c r="I5" s="42" t="s">
        <v>44</v>
      </c>
      <c r="J5" s="42" t="s">
        <v>45</v>
      </c>
      <c r="K5" s="43" t="s">
        <v>47</v>
      </c>
      <c r="L5" s="43" t="s">
        <v>1089</v>
      </c>
      <c r="M5" s="43" t="s">
        <v>48</v>
      </c>
      <c r="N5" s="42" t="s">
        <v>49</v>
      </c>
      <c r="O5" s="43" t="s">
        <v>50</v>
      </c>
      <c r="P5" s="41" t="s">
        <v>51</v>
      </c>
      <c r="Q5" s="41" t="s">
        <v>1090</v>
      </c>
      <c r="R5" s="41" t="s">
        <v>1091</v>
      </c>
      <c r="S5" s="41" t="s">
        <v>1092</v>
      </c>
      <c r="T5" s="44"/>
    </row>
    <row r="6" spans="1:20" ht="143.1" customHeight="1" x14ac:dyDescent="0.25">
      <c r="A6" s="12" t="s">
        <v>1376</v>
      </c>
      <c r="B6" s="12" t="s">
        <v>53</v>
      </c>
      <c r="C6" s="12" t="s">
        <v>54</v>
      </c>
      <c r="D6" s="12" t="s">
        <v>224</v>
      </c>
      <c r="E6" s="12" t="s">
        <v>21</v>
      </c>
      <c r="F6" s="12" t="s">
        <v>56</v>
      </c>
      <c r="G6" s="12" t="s">
        <v>1377</v>
      </c>
      <c r="H6" s="12" t="s">
        <v>90</v>
      </c>
      <c r="I6" s="45">
        <v>44774</v>
      </c>
      <c r="J6" s="45">
        <v>44729</v>
      </c>
      <c r="K6" s="12" t="s">
        <v>59</v>
      </c>
      <c r="L6" s="12"/>
      <c r="M6" s="12" t="s">
        <v>60</v>
      </c>
      <c r="N6" s="45"/>
      <c r="O6" s="12"/>
      <c r="P6" s="12" t="s">
        <v>1378</v>
      </c>
      <c r="Q6" s="12" t="s">
        <v>60</v>
      </c>
      <c r="R6" s="12"/>
      <c r="S6" s="12"/>
      <c r="T6" s="12"/>
    </row>
    <row r="7" spans="1:20" ht="182.1" customHeight="1" x14ac:dyDescent="0.25">
      <c r="A7" s="12" t="s">
        <v>1379</v>
      </c>
      <c r="B7" s="12" t="s">
        <v>53</v>
      </c>
      <c r="C7" s="12" t="s">
        <v>54</v>
      </c>
      <c r="D7" s="12" t="s">
        <v>224</v>
      </c>
      <c r="E7" s="12" t="s">
        <v>19</v>
      </c>
      <c r="F7" s="12" t="s">
        <v>56</v>
      </c>
      <c r="G7" s="12" t="s">
        <v>1380</v>
      </c>
      <c r="H7" s="12" t="s">
        <v>1381</v>
      </c>
      <c r="I7" s="45">
        <v>44774</v>
      </c>
      <c r="J7" s="45">
        <v>44729</v>
      </c>
      <c r="K7" s="12" t="s">
        <v>59</v>
      </c>
      <c r="L7" s="12"/>
      <c r="M7" s="12" t="s">
        <v>60</v>
      </c>
      <c r="N7" s="45"/>
      <c r="O7" s="12"/>
      <c r="P7" s="12" t="s">
        <v>1378</v>
      </c>
      <c r="Q7" s="12" t="s">
        <v>60</v>
      </c>
      <c r="R7" s="12"/>
      <c r="S7" s="12"/>
      <c r="T7" s="12"/>
    </row>
    <row r="8" spans="1:20" ht="117" customHeight="1" x14ac:dyDescent="0.25">
      <c r="A8" s="12" t="s">
        <v>1382</v>
      </c>
      <c r="B8" s="12" t="s">
        <v>53</v>
      </c>
      <c r="C8" s="12" t="s">
        <v>54</v>
      </c>
      <c r="D8" s="12" t="s">
        <v>224</v>
      </c>
      <c r="E8" s="12" t="s">
        <v>17</v>
      </c>
      <c r="F8" s="12" t="s">
        <v>56</v>
      </c>
      <c r="G8" s="12" t="s">
        <v>1383</v>
      </c>
      <c r="H8" s="12" t="s">
        <v>1381</v>
      </c>
      <c r="I8" s="45">
        <v>44774</v>
      </c>
      <c r="J8" s="45">
        <v>44729</v>
      </c>
      <c r="K8" s="12" t="s">
        <v>59</v>
      </c>
      <c r="L8" s="12"/>
      <c r="M8" s="12" t="s">
        <v>60</v>
      </c>
      <c r="N8" s="45"/>
      <c r="O8" s="12"/>
      <c r="P8" s="12" t="s">
        <v>1378</v>
      </c>
      <c r="Q8" s="12" t="s">
        <v>60</v>
      </c>
      <c r="R8" s="12"/>
      <c r="S8" s="12"/>
      <c r="T8" s="12"/>
    </row>
    <row r="9" spans="1:20" ht="90.95" customHeight="1" x14ac:dyDescent="0.25">
      <c r="A9" s="12" t="s">
        <v>1384</v>
      </c>
      <c r="B9" s="12" t="s">
        <v>53</v>
      </c>
      <c r="C9" s="12" t="s">
        <v>54</v>
      </c>
      <c r="D9" s="12" t="s">
        <v>55</v>
      </c>
      <c r="E9" s="12" t="s">
        <v>19</v>
      </c>
      <c r="F9" s="12" t="s">
        <v>56</v>
      </c>
      <c r="G9" s="12" t="s">
        <v>1385</v>
      </c>
      <c r="H9" s="12" t="s">
        <v>1381</v>
      </c>
      <c r="I9" s="45">
        <v>43364</v>
      </c>
      <c r="J9" s="45">
        <v>43364</v>
      </c>
      <c r="K9" s="12" t="s">
        <v>59</v>
      </c>
      <c r="L9" s="12"/>
      <c r="M9" s="12" t="s">
        <v>60</v>
      </c>
      <c r="N9" s="45"/>
      <c r="O9" s="12"/>
      <c r="P9" s="12" t="s">
        <v>1386</v>
      </c>
      <c r="Q9" s="12" t="s">
        <v>60</v>
      </c>
      <c r="R9" s="12"/>
      <c r="S9" s="12"/>
      <c r="T9" s="12"/>
    </row>
    <row r="10" spans="1:20" ht="90.95" customHeight="1" x14ac:dyDescent="0.25">
      <c r="A10" s="12" t="s">
        <v>1387</v>
      </c>
      <c r="B10" s="12" t="s">
        <v>53</v>
      </c>
      <c r="C10" s="12" t="s">
        <v>54</v>
      </c>
      <c r="D10" s="12" t="s">
        <v>55</v>
      </c>
      <c r="E10" s="12" t="s">
        <v>17</v>
      </c>
      <c r="F10" s="12" t="s">
        <v>56</v>
      </c>
      <c r="G10" s="12" t="s">
        <v>1388</v>
      </c>
      <c r="H10" s="12" t="s">
        <v>1381</v>
      </c>
      <c r="I10" s="45">
        <v>43364</v>
      </c>
      <c r="J10" s="45">
        <v>43364</v>
      </c>
      <c r="K10" s="12" t="s">
        <v>59</v>
      </c>
      <c r="L10" s="12"/>
      <c r="M10" s="12" t="s">
        <v>60</v>
      </c>
      <c r="N10" s="45"/>
      <c r="O10" s="12"/>
      <c r="P10" s="12" t="s">
        <v>1386</v>
      </c>
      <c r="Q10" s="12" t="s">
        <v>60</v>
      </c>
      <c r="R10" s="12"/>
      <c r="S10" s="12"/>
      <c r="T10" s="12"/>
    </row>
    <row r="11" spans="1:20" ht="90.95" customHeight="1" x14ac:dyDescent="0.25">
      <c r="A11" s="12" t="s">
        <v>1389</v>
      </c>
      <c r="B11" s="12" t="s">
        <v>53</v>
      </c>
      <c r="C11" s="12" t="s">
        <v>54</v>
      </c>
      <c r="D11" s="12" t="s">
        <v>55</v>
      </c>
      <c r="E11" s="12" t="s">
        <v>21</v>
      </c>
      <c r="F11" s="12" t="s">
        <v>56</v>
      </c>
      <c r="G11" s="12" t="s">
        <v>1390</v>
      </c>
      <c r="H11" s="12" t="s">
        <v>1381</v>
      </c>
      <c r="I11" s="45">
        <v>43364</v>
      </c>
      <c r="J11" s="45">
        <v>43364</v>
      </c>
      <c r="K11" s="12" t="s">
        <v>59</v>
      </c>
      <c r="L11" s="12"/>
      <c r="M11" s="12" t="s">
        <v>60</v>
      </c>
      <c r="N11" s="45"/>
      <c r="O11" s="12"/>
      <c r="P11" s="12"/>
      <c r="Q11" s="12" t="s">
        <v>60</v>
      </c>
      <c r="R11" s="12"/>
      <c r="S11" s="12"/>
      <c r="T11" s="12"/>
    </row>
    <row r="12" spans="1:20" ht="195" customHeight="1" x14ac:dyDescent="0.25">
      <c r="A12" s="12" t="s">
        <v>1391</v>
      </c>
      <c r="B12" s="12" t="s">
        <v>53</v>
      </c>
      <c r="C12" s="12" t="s">
        <v>54</v>
      </c>
      <c r="D12" s="12" t="s">
        <v>252</v>
      </c>
      <c r="E12" s="12" t="s">
        <v>1392</v>
      </c>
      <c r="F12" s="12" t="s">
        <v>56</v>
      </c>
      <c r="G12" s="12" t="s">
        <v>1393</v>
      </c>
      <c r="H12" s="12"/>
      <c r="I12" s="45">
        <v>45474</v>
      </c>
      <c r="J12" s="45">
        <v>45363</v>
      </c>
      <c r="K12" s="12" t="s">
        <v>59</v>
      </c>
      <c r="L12" s="12"/>
      <c r="M12" s="12" t="s">
        <v>60</v>
      </c>
      <c r="N12" s="45"/>
      <c r="O12" s="12"/>
      <c r="P12" s="12" t="s">
        <v>1394</v>
      </c>
      <c r="Q12" s="12" t="s">
        <v>60</v>
      </c>
      <c r="R12" s="12"/>
      <c r="S12" s="12"/>
      <c r="T12" s="12"/>
    </row>
    <row r="13" spans="1:20" ht="90.95" customHeight="1" x14ac:dyDescent="0.25">
      <c r="A13" s="12" t="s">
        <v>1395</v>
      </c>
      <c r="B13" s="12" t="s">
        <v>62</v>
      </c>
      <c r="C13" s="12" t="s">
        <v>63</v>
      </c>
      <c r="D13" s="12" t="s">
        <v>236</v>
      </c>
      <c r="E13" s="12" t="s">
        <v>19</v>
      </c>
      <c r="F13" s="12" t="s">
        <v>56</v>
      </c>
      <c r="G13" s="12" t="s">
        <v>1396</v>
      </c>
      <c r="H13" s="12" t="s">
        <v>1381</v>
      </c>
      <c r="I13" s="45">
        <v>43831</v>
      </c>
      <c r="J13" s="45">
        <v>43763</v>
      </c>
      <c r="K13" s="12" t="s">
        <v>59</v>
      </c>
      <c r="L13" s="12"/>
      <c r="M13" s="12" t="s">
        <v>60</v>
      </c>
      <c r="N13" s="45"/>
      <c r="O13" s="12"/>
      <c r="P13" s="12" t="s">
        <v>1397</v>
      </c>
      <c r="Q13" s="12" t="s">
        <v>60</v>
      </c>
      <c r="R13" s="12"/>
      <c r="S13" s="12"/>
      <c r="T13" s="12"/>
    </row>
    <row r="14" spans="1:20" ht="104.1" customHeight="1" x14ac:dyDescent="0.25">
      <c r="A14" s="12" t="s">
        <v>1398</v>
      </c>
      <c r="B14" s="12" t="s">
        <v>65</v>
      </c>
      <c r="C14" s="12" t="s">
        <v>66</v>
      </c>
      <c r="D14" s="12" t="s">
        <v>1399</v>
      </c>
      <c r="E14" s="12" t="s">
        <v>30</v>
      </c>
      <c r="F14" s="12" t="s">
        <v>1307</v>
      </c>
      <c r="G14" s="12" t="s">
        <v>1400</v>
      </c>
      <c r="H14" s="12" t="s">
        <v>90</v>
      </c>
      <c r="I14" s="45">
        <v>37257</v>
      </c>
      <c r="J14" s="45"/>
      <c r="K14" s="12" t="s">
        <v>59</v>
      </c>
      <c r="L14" s="12"/>
      <c r="M14" s="12" t="s">
        <v>60</v>
      </c>
      <c r="N14" s="45"/>
      <c r="O14" s="12"/>
      <c r="P14" s="12" t="s">
        <v>1401</v>
      </c>
      <c r="Q14" s="12" t="s">
        <v>60</v>
      </c>
      <c r="R14" s="12"/>
      <c r="S14" s="12"/>
      <c r="T14" s="12"/>
    </row>
    <row r="15" spans="1:20" ht="156" customHeight="1" x14ac:dyDescent="0.25">
      <c r="A15" s="12" t="s">
        <v>1402</v>
      </c>
      <c r="B15" s="12" t="s">
        <v>65</v>
      </c>
      <c r="C15" s="12" t="s">
        <v>66</v>
      </c>
      <c r="D15" s="12" t="s">
        <v>252</v>
      </c>
      <c r="E15" s="12" t="s">
        <v>21</v>
      </c>
      <c r="F15" s="12" t="s">
        <v>56</v>
      </c>
      <c r="G15" s="12" t="s">
        <v>1403</v>
      </c>
      <c r="H15" s="12" t="s">
        <v>1381</v>
      </c>
      <c r="I15" s="45">
        <v>45566</v>
      </c>
      <c r="J15" s="45">
        <v>45546</v>
      </c>
      <c r="K15" s="12" t="s">
        <v>59</v>
      </c>
      <c r="L15" s="12"/>
      <c r="M15" s="12" t="s">
        <v>60</v>
      </c>
      <c r="N15" s="45"/>
      <c r="O15" s="12"/>
      <c r="P15" s="12" t="s">
        <v>1404</v>
      </c>
      <c r="Q15" s="12" t="s">
        <v>60</v>
      </c>
      <c r="R15" s="12"/>
      <c r="S15" s="12"/>
      <c r="T15" s="12"/>
    </row>
    <row r="16" spans="1:20" ht="129.94999999999999" customHeight="1" x14ac:dyDescent="0.25">
      <c r="A16" s="12" t="s">
        <v>1405</v>
      </c>
      <c r="B16" s="12" t="s">
        <v>65</v>
      </c>
      <c r="C16" s="12" t="s">
        <v>66</v>
      </c>
      <c r="D16" s="12" t="s">
        <v>252</v>
      </c>
      <c r="E16" s="12" t="s">
        <v>19</v>
      </c>
      <c r="F16" s="12" t="s">
        <v>56</v>
      </c>
      <c r="G16" s="12" t="s">
        <v>1406</v>
      </c>
      <c r="H16" s="12" t="s">
        <v>1381</v>
      </c>
      <c r="I16" s="45">
        <v>45566</v>
      </c>
      <c r="J16" s="45">
        <v>45546</v>
      </c>
      <c r="K16" s="12" t="s">
        <v>59</v>
      </c>
      <c r="L16" s="12"/>
      <c r="M16" s="12" t="s">
        <v>60</v>
      </c>
      <c r="N16" s="45"/>
      <c r="O16" s="12"/>
      <c r="P16" s="12" t="s">
        <v>1404</v>
      </c>
      <c r="Q16" s="12" t="s">
        <v>60</v>
      </c>
      <c r="R16" s="12"/>
      <c r="S16" s="12"/>
      <c r="T16" s="12"/>
    </row>
    <row r="17" spans="1:20" ht="143.1" customHeight="1" x14ac:dyDescent="0.25">
      <c r="A17" s="12" t="s">
        <v>1407</v>
      </c>
      <c r="B17" s="12" t="s">
        <v>65</v>
      </c>
      <c r="C17" s="12" t="s">
        <v>66</v>
      </c>
      <c r="D17" s="12" t="s">
        <v>252</v>
      </c>
      <c r="E17" s="12" t="s">
        <v>17</v>
      </c>
      <c r="F17" s="12" t="s">
        <v>56</v>
      </c>
      <c r="G17" s="12" t="s">
        <v>1403</v>
      </c>
      <c r="H17" s="12" t="s">
        <v>1381</v>
      </c>
      <c r="I17" s="45">
        <v>45566</v>
      </c>
      <c r="J17" s="45">
        <v>45546</v>
      </c>
      <c r="K17" s="12" t="s">
        <v>59</v>
      </c>
      <c r="L17" s="12"/>
      <c r="M17" s="12" t="s">
        <v>60</v>
      </c>
      <c r="N17" s="45"/>
      <c r="O17" s="12"/>
      <c r="P17" s="12" t="s">
        <v>1404</v>
      </c>
      <c r="Q17" s="12" t="s">
        <v>60</v>
      </c>
      <c r="R17" s="12"/>
      <c r="S17" s="12"/>
      <c r="T17" s="12"/>
    </row>
    <row r="18" spans="1:20" ht="156" customHeight="1" x14ac:dyDescent="0.25">
      <c r="A18" s="12" t="s">
        <v>1408</v>
      </c>
      <c r="B18" s="12" t="s">
        <v>81</v>
      </c>
      <c r="C18" s="12" t="s">
        <v>82</v>
      </c>
      <c r="D18" s="12" t="s">
        <v>228</v>
      </c>
      <c r="E18" s="12" t="s">
        <v>19</v>
      </c>
      <c r="F18" s="12" t="s">
        <v>56</v>
      </c>
      <c r="G18" s="12" t="s">
        <v>1409</v>
      </c>
      <c r="H18" s="12" t="s">
        <v>1381</v>
      </c>
      <c r="I18" s="45">
        <v>44274</v>
      </c>
      <c r="J18" s="45">
        <v>44144</v>
      </c>
      <c r="K18" s="12" t="s">
        <v>59</v>
      </c>
      <c r="L18" s="12" t="s">
        <v>1410</v>
      </c>
      <c r="M18" s="12" t="s">
        <v>60</v>
      </c>
      <c r="N18" s="45"/>
      <c r="O18" s="12" t="s">
        <v>1411</v>
      </c>
      <c r="P18" s="12"/>
      <c r="Q18" s="12" t="s">
        <v>60</v>
      </c>
      <c r="R18" s="12"/>
      <c r="S18" s="12"/>
      <c r="T18" s="12"/>
    </row>
    <row r="19" spans="1:20" ht="195" customHeight="1" x14ac:dyDescent="0.25">
      <c r="A19" s="12" t="s">
        <v>1412</v>
      </c>
      <c r="B19" s="12" t="s">
        <v>81</v>
      </c>
      <c r="C19" s="12" t="s">
        <v>82</v>
      </c>
      <c r="D19" s="12" t="s">
        <v>88</v>
      </c>
      <c r="E19" s="12" t="s">
        <v>30</v>
      </c>
      <c r="F19" s="12" t="s">
        <v>56</v>
      </c>
      <c r="G19" s="12" t="s">
        <v>1413</v>
      </c>
      <c r="H19" s="12" t="s">
        <v>90</v>
      </c>
      <c r="I19" s="45">
        <v>41612</v>
      </c>
      <c r="J19" s="45"/>
      <c r="K19" s="12" t="s">
        <v>59</v>
      </c>
      <c r="L19" s="12"/>
      <c r="M19" s="12" t="s">
        <v>60</v>
      </c>
      <c r="N19" s="45"/>
      <c r="O19" s="12"/>
      <c r="P19" s="12" t="s">
        <v>1414</v>
      </c>
      <c r="Q19" s="12" t="s">
        <v>60</v>
      </c>
      <c r="R19" s="12"/>
      <c r="S19" s="12"/>
      <c r="T19" s="12"/>
    </row>
    <row r="20" spans="1:20" ht="143.1" customHeight="1" x14ac:dyDescent="0.25">
      <c r="A20" s="12" t="s">
        <v>1415</v>
      </c>
      <c r="B20" s="12" t="s">
        <v>81</v>
      </c>
      <c r="C20" s="12" t="s">
        <v>82</v>
      </c>
      <c r="D20" s="12" t="s">
        <v>88</v>
      </c>
      <c r="E20" s="12" t="s">
        <v>17</v>
      </c>
      <c r="F20" s="12" t="s">
        <v>56</v>
      </c>
      <c r="G20" s="12" t="s">
        <v>1416</v>
      </c>
      <c r="H20" s="12" t="s">
        <v>90</v>
      </c>
      <c r="I20" s="45">
        <v>41612</v>
      </c>
      <c r="J20" s="45"/>
      <c r="K20" s="12" t="s">
        <v>91</v>
      </c>
      <c r="L20" s="12"/>
      <c r="M20" s="12" t="s">
        <v>215</v>
      </c>
      <c r="N20" s="45">
        <v>42447</v>
      </c>
      <c r="O20" s="12" t="s">
        <v>1417</v>
      </c>
      <c r="P20" s="12" t="s">
        <v>1414</v>
      </c>
      <c r="Q20" s="12" t="s">
        <v>60</v>
      </c>
      <c r="R20" s="12"/>
      <c r="S20" s="12"/>
      <c r="T20" s="12"/>
    </row>
    <row r="21" spans="1:20" ht="156" customHeight="1" x14ac:dyDescent="0.25">
      <c r="A21" s="12" t="s">
        <v>1410</v>
      </c>
      <c r="B21" s="12" t="s">
        <v>81</v>
      </c>
      <c r="C21" s="12" t="s">
        <v>82</v>
      </c>
      <c r="D21" s="12" t="s">
        <v>88</v>
      </c>
      <c r="E21" s="12" t="s">
        <v>19</v>
      </c>
      <c r="F21" s="12" t="s">
        <v>56</v>
      </c>
      <c r="G21" s="12" t="s">
        <v>1418</v>
      </c>
      <c r="H21" s="12" t="s">
        <v>90</v>
      </c>
      <c r="I21" s="45">
        <v>41612</v>
      </c>
      <c r="J21" s="45"/>
      <c r="K21" s="12" t="s">
        <v>91</v>
      </c>
      <c r="L21" s="12"/>
      <c r="M21" s="12" t="s">
        <v>215</v>
      </c>
      <c r="N21" s="45">
        <v>44274</v>
      </c>
      <c r="O21" s="12"/>
      <c r="P21" s="12" t="s">
        <v>1414</v>
      </c>
      <c r="Q21" s="12" t="s">
        <v>60</v>
      </c>
      <c r="R21" s="12"/>
      <c r="S21" s="12"/>
      <c r="T21" s="12"/>
    </row>
    <row r="22" spans="1:20" ht="117" customHeight="1" x14ac:dyDescent="0.25">
      <c r="A22" s="12" t="s">
        <v>1419</v>
      </c>
      <c r="B22" s="12" t="s">
        <v>81</v>
      </c>
      <c r="C22" s="12" t="s">
        <v>82</v>
      </c>
      <c r="D22" s="12" t="s">
        <v>126</v>
      </c>
      <c r="E22" s="12" t="s">
        <v>17</v>
      </c>
      <c r="F22" s="12" t="s">
        <v>56</v>
      </c>
      <c r="G22" s="12" t="s">
        <v>1420</v>
      </c>
      <c r="H22" s="12" t="s">
        <v>90</v>
      </c>
      <c r="I22" s="45">
        <v>42447</v>
      </c>
      <c r="J22" s="45"/>
      <c r="K22" s="12" t="s">
        <v>59</v>
      </c>
      <c r="L22" s="12" t="s">
        <v>1415</v>
      </c>
      <c r="M22" s="12" t="s">
        <v>60</v>
      </c>
      <c r="N22" s="45"/>
      <c r="O22" s="12"/>
      <c r="P22" s="12" t="s">
        <v>1421</v>
      </c>
      <c r="Q22" s="12" t="s">
        <v>60</v>
      </c>
      <c r="R22" s="12"/>
      <c r="S22" s="12"/>
      <c r="T22" s="12"/>
    </row>
    <row r="23" spans="1:20" ht="156" customHeight="1" x14ac:dyDescent="0.25">
      <c r="A23" s="12" t="s">
        <v>1422</v>
      </c>
      <c r="B23" s="12" t="s">
        <v>94</v>
      </c>
      <c r="C23" s="12" t="s">
        <v>95</v>
      </c>
      <c r="D23" s="12" t="s">
        <v>77</v>
      </c>
      <c r="E23" s="12" t="s">
        <v>19</v>
      </c>
      <c r="F23" s="12" t="s">
        <v>56</v>
      </c>
      <c r="G23" s="12" t="s">
        <v>1423</v>
      </c>
      <c r="H23" s="12" t="s">
        <v>1381</v>
      </c>
      <c r="I23" s="45">
        <v>42171</v>
      </c>
      <c r="J23" s="45">
        <v>42171</v>
      </c>
      <c r="K23" s="12" t="s">
        <v>91</v>
      </c>
      <c r="L23" s="12"/>
      <c r="M23" s="12" t="s">
        <v>215</v>
      </c>
      <c r="N23" s="45">
        <v>42535</v>
      </c>
      <c r="O23" s="12" t="s">
        <v>1424</v>
      </c>
      <c r="P23" s="12" t="s">
        <v>1425</v>
      </c>
      <c r="Q23" s="12" t="s">
        <v>60</v>
      </c>
      <c r="R23" s="12" t="s">
        <v>1426</v>
      </c>
      <c r="S23" s="12"/>
      <c r="T23" s="12"/>
    </row>
    <row r="24" spans="1:20" ht="90.95" customHeight="1" x14ac:dyDescent="0.25">
      <c r="A24" s="12" t="s">
        <v>1427</v>
      </c>
      <c r="B24" s="12" t="s">
        <v>94</v>
      </c>
      <c r="C24" s="12" t="s">
        <v>95</v>
      </c>
      <c r="D24" s="12" t="s">
        <v>77</v>
      </c>
      <c r="E24" s="12" t="s">
        <v>30</v>
      </c>
      <c r="F24" s="12" t="s">
        <v>56</v>
      </c>
      <c r="G24" s="12" t="s">
        <v>1428</v>
      </c>
      <c r="H24" s="12" t="s">
        <v>1381</v>
      </c>
      <c r="I24" s="45">
        <v>42171</v>
      </c>
      <c r="J24" s="45">
        <v>42171</v>
      </c>
      <c r="K24" s="12" t="s">
        <v>59</v>
      </c>
      <c r="L24" s="12"/>
      <c r="M24" s="12" t="s">
        <v>60</v>
      </c>
      <c r="N24" s="45"/>
      <c r="O24" s="12"/>
      <c r="P24" s="12" t="s">
        <v>1425</v>
      </c>
      <c r="Q24" s="12" t="s">
        <v>60</v>
      </c>
      <c r="R24" s="12" t="s">
        <v>1426</v>
      </c>
      <c r="S24" s="12"/>
      <c r="T24" s="12"/>
    </row>
    <row r="25" spans="1:20" ht="78" customHeight="1" x14ac:dyDescent="0.25">
      <c r="A25" s="12" t="s">
        <v>1429</v>
      </c>
      <c r="B25" s="12" t="s">
        <v>94</v>
      </c>
      <c r="C25" s="12" t="s">
        <v>95</v>
      </c>
      <c r="D25" s="12" t="s">
        <v>126</v>
      </c>
      <c r="E25" s="12" t="s">
        <v>19</v>
      </c>
      <c r="F25" s="12" t="s">
        <v>56</v>
      </c>
      <c r="G25" s="12" t="s">
        <v>1430</v>
      </c>
      <c r="H25" s="12" t="s">
        <v>1381</v>
      </c>
      <c r="I25" s="45">
        <v>42535</v>
      </c>
      <c r="J25" s="45">
        <v>42535</v>
      </c>
      <c r="K25" s="12" t="s">
        <v>91</v>
      </c>
      <c r="L25" s="12" t="s">
        <v>1422</v>
      </c>
      <c r="M25" s="12" t="s">
        <v>215</v>
      </c>
      <c r="N25" s="45">
        <v>43922</v>
      </c>
      <c r="O25" s="12" t="s">
        <v>1431</v>
      </c>
      <c r="P25" s="12" t="s">
        <v>1432</v>
      </c>
      <c r="Q25" s="12" t="s">
        <v>60</v>
      </c>
      <c r="R25" s="12" t="s">
        <v>1426</v>
      </c>
      <c r="S25" s="12"/>
      <c r="T25" s="12"/>
    </row>
    <row r="26" spans="1:20" ht="117" customHeight="1" x14ac:dyDescent="0.25">
      <c r="A26" s="12" t="s">
        <v>1433</v>
      </c>
      <c r="B26" s="12" t="s">
        <v>94</v>
      </c>
      <c r="C26" s="12" t="s">
        <v>95</v>
      </c>
      <c r="D26" s="12" t="s">
        <v>55</v>
      </c>
      <c r="E26" s="12" t="s">
        <v>17</v>
      </c>
      <c r="F26" s="12" t="s">
        <v>56</v>
      </c>
      <c r="G26" s="12" t="s">
        <v>1434</v>
      </c>
      <c r="H26" s="12" t="s">
        <v>1381</v>
      </c>
      <c r="I26" s="45">
        <v>43374</v>
      </c>
      <c r="J26" s="45">
        <v>43263</v>
      </c>
      <c r="K26" s="12" t="s">
        <v>91</v>
      </c>
      <c r="L26" s="12"/>
      <c r="M26" s="12" t="s">
        <v>215</v>
      </c>
      <c r="N26" s="45">
        <v>43922</v>
      </c>
      <c r="O26" s="12"/>
      <c r="P26" s="12" t="s">
        <v>1435</v>
      </c>
      <c r="Q26" s="12" t="s">
        <v>60</v>
      </c>
      <c r="R26" s="12" t="s">
        <v>1426</v>
      </c>
      <c r="S26" s="12"/>
      <c r="T26" s="12"/>
    </row>
    <row r="27" spans="1:20" ht="90.95" customHeight="1" x14ac:dyDescent="0.25">
      <c r="A27" s="12" t="s">
        <v>1436</v>
      </c>
      <c r="B27" s="12" t="s">
        <v>94</v>
      </c>
      <c r="C27" s="12" t="s">
        <v>95</v>
      </c>
      <c r="D27" s="12" t="s">
        <v>55</v>
      </c>
      <c r="E27" s="12" t="s">
        <v>1437</v>
      </c>
      <c r="F27" s="12" t="s">
        <v>56</v>
      </c>
      <c r="G27" s="12" t="s">
        <v>1438</v>
      </c>
      <c r="H27" s="12" t="s">
        <v>1381</v>
      </c>
      <c r="I27" s="45">
        <v>43374</v>
      </c>
      <c r="J27" s="45">
        <v>43263</v>
      </c>
      <c r="K27" s="12" t="s">
        <v>91</v>
      </c>
      <c r="L27" s="12"/>
      <c r="M27" s="12" t="s">
        <v>215</v>
      </c>
      <c r="N27" s="45">
        <v>43922</v>
      </c>
      <c r="O27" s="12"/>
      <c r="P27" s="12" t="s">
        <v>1435</v>
      </c>
      <c r="Q27" s="12" t="s">
        <v>60</v>
      </c>
      <c r="R27" s="12" t="s">
        <v>1426</v>
      </c>
      <c r="S27" s="12"/>
      <c r="T27" s="12"/>
    </row>
    <row r="28" spans="1:20" ht="129.94999999999999" customHeight="1" x14ac:dyDescent="0.25">
      <c r="A28" s="12" t="s">
        <v>1439</v>
      </c>
      <c r="B28" s="12" t="s">
        <v>94</v>
      </c>
      <c r="C28" s="12" t="s">
        <v>95</v>
      </c>
      <c r="D28" s="12" t="s">
        <v>77</v>
      </c>
      <c r="E28" s="12" t="s">
        <v>21</v>
      </c>
      <c r="F28" s="12" t="s">
        <v>56</v>
      </c>
      <c r="G28" s="12" t="s">
        <v>1440</v>
      </c>
      <c r="H28" s="12" t="s">
        <v>1381</v>
      </c>
      <c r="I28" s="45">
        <v>42171</v>
      </c>
      <c r="J28" s="45">
        <v>42171</v>
      </c>
      <c r="K28" s="12" t="s">
        <v>59</v>
      </c>
      <c r="L28" s="12"/>
      <c r="M28" s="12" t="s">
        <v>60</v>
      </c>
      <c r="N28" s="45"/>
      <c r="O28" s="12"/>
      <c r="P28" s="12" t="s">
        <v>1425</v>
      </c>
      <c r="Q28" s="12" t="s">
        <v>60</v>
      </c>
      <c r="R28" s="12" t="s">
        <v>1426</v>
      </c>
      <c r="S28" s="12"/>
      <c r="T28" s="12"/>
    </row>
    <row r="29" spans="1:20" ht="129.94999999999999" customHeight="1" x14ac:dyDescent="0.25">
      <c r="A29" s="12" t="s">
        <v>1441</v>
      </c>
      <c r="B29" s="12" t="s">
        <v>94</v>
      </c>
      <c r="C29" s="12" t="s">
        <v>95</v>
      </c>
      <c r="D29" s="12" t="s">
        <v>232</v>
      </c>
      <c r="E29" s="12" t="s">
        <v>19</v>
      </c>
      <c r="F29" s="12" t="s">
        <v>56</v>
      </c>
      <c r="G29" s="12" t="s">
        <v>1442</v>
      </c>
      <c r="H29" s="12" t="s">
        <v>1381</v>
      </c>
      <c r="I29" s="45">
        <v>43922</v>
      </c>
      <c r="J29" s="45">
        <v>43922</v>
      </c>
      <c r="K29" s="12" t="s">
        <v>91</v>
      </c>
      <c r="L29" s="12"/>
      <c r="M29" s="12" t="s">
        <v>215</v>
      </c>
      <c r="N29" s="45">
        <v>44526</v>
      </c>
      <c r="O29" s="12"/>
      <c r="P29" s="12" t="s">
        <v>1443</v>
      </c>
      <c r="Q29" s="12" t="s">
        <v>60</v>
      </c>
      <c r="R29" s="12" t="s">
        <v>1426</v>
      </c>
      <c r="S29" s="12"/>
      <c r="T29" s="12"/>
    </row>
    <row r="30" spans="1:20" ht="143.1" customHeight="1" x14ac:dyDescent="0.25">
      <c r="A30" s="12" t="s">
        <v>1444</v>
      </c>
      <c r="B30" s="12" t="s">
        <v>94</v>
      </c>
      <c r="C30" s="12" t="s">
        <v>95</v>
      </c>
      <c r="D30" s="12" t="s">
        <v>232</v>
      </c>
      <c r="E30" s="12" t="s">
        <v>17</v>
      </c>
      <c r="F30" s="12" t="s">
        <v>56</v>
      </c>
      <c r="G30" s="12" t="s">
        <v>1445</v>
      </c>
      <c r="H30" s="12" t="s">
        <v>1381</v>
      </c>
      <c r="I30" s="45">
        <v>43924</v>
      </c>
      <c r="J30" s="45">
        <v>43924</v>
      </c>
      <c r="K30" s="12" t="s">
        <v>91</v>
      </c>
      <c r="L30" s="12"/>
      <c r="M30" s="12" t="s">
        <v>215</v>
      </c>
      <c r="N30" s="45">
        <v>44020</v>
      </c>
      <c r="O30" s="12"/>
      <c r="P30" s="12" t="s">
        <v>1443</v>
      </c>
      <c r="Q30" s="12" t="s">
        <v>60</v>
      </c>
      <c r="R30" s="12" t="s">
        <v>1426</v>
      </c>
      <c r="S30" s="12"/>
      <c r="T30" s="12"/>
    </row>
    <row r="31" spans="1:20" ht="39" customHeight="1" x14ac:dyDescent="0.25">
      <c r="A31" s="12" t="s">
        <v>1446</v>
      </c>
      <c r="B31" s="12" t="s">
        <v>94</v>
      </c>
      <c r="C31" s="12" t="s">
        <v>95</v>
      </c>
      <c r="D31" s="12" t="s">
        <v>77</v>
      </c>
      <c r="E31" s="12" t="s">
        <v>25</v>
      </c>
      <c r="F31" s="12" t="s">
        <v>56</v>
      </c>
      <c r="G31" s="12" t="s">
        <v>1447</v>
      </c>
      <c r="H31" s="12" t="s">
        <v>1381</v>
      </c>
      <c r="I31" s="45">
        <v>42171</v>
      </c>
      <c r="J31" s="45">
        <v>42171</v>
      </c>
      <c r="K31" s="12" t="s">
        <v>59</v>
      </c>
      <c r="L31" s="12"/>
      <c r="M31" s="12" t="s">
        <v>60</v>
      </c>
      <c r="N31" s="45"/>
      <c r="O31" s="12"/>
      <c r="P31" s="12" t="s">
        <v>1425</v>
      </c>
      <c r="Q31" s="12" t="s">
        <v>60</v>
      </c>
      <c r="R31" s="12" t="s">
        <v>1448</v>
      </c>
      <c r="S31" s="12"/>
      <c r="T31" s="12"/>
    </row>
    <row r="32" spans="1:20" ht="221.1" customHeight="1" x14ac:dyDescent="0.25">
      <c r="A32" s="12" t="s">
        <v>1449</v>
      </c>
      <c r="B32" s="12" t="s">
        <v>94</v>
      </c>
      <c r="C32" s="12" t="s">
        <v>95</v>
      </c>
      <c r="D32" s="12" t="s">
        <v>224</v>
      </c>
      <c r="E32" s="12" t="s">
        <v>17</v>
      </c>
      <c r="F32" s="12" t="s">
        <v>56</v>
      </c>
      <c r="G32" s="12" t="s">
        <v>1450</v>
      </c>
      <c r="H32" s="12" t="s">
        <v>1381</v>
      </c>
      <c r="I32" s="45">
        <v>44652</v>
      </c>
      <c r="J32" s="45">
        <v>44526</v>
      </c>
      <c r="K32" s="12" t="s">
        <v>91</v>
      </c>
      <c r="L32" s="12"/>
      <c r="M32" s="12" t="s">
        <v>215</v>
      </c>
      <c r="N32" s="45">
        <v>45108</v>
      </c>
      <c r="O32" s="12"/>
      <c r="P32" s="12" t="s">
        <v>1451</v>
      </c>
      <c r="Q32" s="12" t="s">
        <v>60</v>
      </c>
      <c r="R32" s="12"/>
      <c r="S32" s="12"/>
      <c r="T32" s="12"/>
    </row>
    <row r="33" spans="1:20" ht="65.099999999999994" customHeight="1" x14ac:dyDescent="0.25">
      <c r="A33" s="12" t="s">
        <v>1452</v>
      </c>
      <c r="B33" s="12" t="s">
        <v>94</v>
      </c>
      <c r="C33" s="12" t="s">
        <v>95</v>
      </c>
      <c r="D33" s="12" t="s">
        <v>224</v>
      </c>
      <c r="E33" s="12" t="s">
        <v>19</v>
      </c>
      <c r="F33" s="12" t="s">
        <v>56</v>
      </c>
      <c r="G33" s="12" t="s">
        <v>1453</v>
      </c>
      <c r="H33" s="12" t="s">
        <v>1381</v>
      </c>
      <c r="I33" s="45">
        <v>44652</v>
      </c>
      <c r="J33" s="45">
        <v>44526</v>
      </c>
      <c r="K33" s="12" t="s">
        <v>59</v>
      </c>
      <c r="L33" s="12"/>
      <c r="M33" s="12" t="s">
        <v>60</v>
      </c>
      <c r="N33" s="45"/>
      <c r="O33" s="12"/>
      <c r="P33" s="12" t="s">
        <v>1451</v>
      </c>
      <c r="Q33" s="12" t="s">
        <v>60</v>
      </c>
      <c r="R33" s="12"/>
      <c r="S33" s="12"/>
      <c r="T33" s="12"/>
    </row>
    <row r="34" spans="1:20" ht="117" customHeight="1" x14ac:dyDescent="0.25">
      <c r="A34" s="12" t="s">
        <v>1454</v>
      </c>
      <c r="B34" s="12" t="s">
        <v>94</v>
      </c>
      <c r="C34" s="12" t="s">
        <v>95</v>
      </c>
      <c r="D34" s="12" t="s">
        <v>224</v>
      </c>
      <c r="E34" s="12" t="s">
        <v>1437</v>
      </c>
      <c r="F34" s="12" t="s">
        <v>56</v>
      </c>
      <c r="G34" s="12" t="s">
        <v>1455</v>
      </c>
      <c r="H34" s="12" t="s">
        <v>1381</v>
      </c>
      <c r="I34" s="45">
        <v>44652</v>
      </c>
      <c r="J34" s="45">
        <v>44526</v>
      </c>
      <c r="K34" s="12" t="s">
        <v>91</v>
      </c>
      <c r="L34" s="12"/>
      <c r="M34" s="12" t="s">
        <v>215</v>
      </c>
      <c r="N34" s="45">
        <v>45292</v>
      </c>
      <c r="O34" s="12"/>
      <c r="P34" s="12" t="s">
        <v>1451</v>
      </c>
      <c r="Q34" s="12" t="s">
        <v>60</v>
      </c>
      <c r="R34" s="12"/>
      <c r="S34" s="12"/>
      <c r="T34" s="12"/>
    </row>
    <row r="35" spans="1:20" ht="65.099999999999994" customHeight="1" x14ac:dyDescent="0.25">
      <c r="A35" s="12" t="s">
        <v>1456</v>
      </c>
      <c r="B35" s="12" t="s">
        <v>97</v>
      </c>
      <c r="C35" s="12" t="s">
        <v>523</v>
      </c>
      <c r="D35" s="12" t="s">
        <v>67</v>
      </c>
      <c r="E35" s="12" t="s">
        <v>19</v>
      </c>
      <c r="F35" s="12" t="s">
        <v>56</v>
      </c>
      <c r="G35" s="12" t="s">
        <v>1457</v>
      </c>
      <c r="H35" s="12" t="s">
        <v>90</v>
      </c>
      <c r="I35" s="45">
        <v>42309</v>
      </c>
      <c r="J35" s="45"/>
      <c r="K35" s="12" t="s">
        <v>59</v>
      </c>
      <c r="L35" s="12"/>
      <c r="M35" s="12" t="s">
        <v>60</v>
      </c>
      <c r="N35" s="45"/>
      <c r="O35" s="12"/>
      <c r="P35" s="12" t="s">
        <v>1458</v>
      </c>
      <c r="Q35" s="12" t="s">
        <v>60</v>
      </c>
      <c r="R35" s="12"/>
      <c r="S35" s="12"/>
      <c r="T35" s="12"/>
    </row>
    <row r="36" spans="1:20" ht="51.95" customHeight="1" x14ac:dyDescent="0.25">
      <c r="A36" s="12" t="s">
        <v>1459</v>
      </c>
      <c r="B36" s="12" t="s">
        <v>97</v>
      </c>
      <c r="C36" s="12" t="s">
        <v>523</v>
      </c>
      <c r="D36" s="12" t="s">
        <v>126</v>
      </c>
      <c r="E36" s="12" t="s">
        <v>18</v>
      </c>
      <c r="F36" s="12" t="s">
        <v>56</v>
      </c>
      <c r="G36" s="12" t="s">
        <v>1460</v>
      </c>
      <c r="H36" s="12" t="s">
        <v>1381</v>
      </c>
      <c r="I36" s="45">
        <v>42401</v>
      </c>
      <c r="J36" s="45"/>
      <c r="K36" s="12" t="s">
        <v>59</v>
      </c>
      <c r="L36" s="12"/>
      <c r="M36" s="12" t="s">
        <v>60</v>
      </c>
      <c r="N36" s="45"/>
      <c r="O36" s="12"/>
      <c r="P36" s="12" t="s">
        <v>1461</v>
      </c>
      <c r="Q36" s="12" t="s">
        <v>60</v>
      </c>
      <c r="R36" s="12"/>
      <c r="S36" s="12"/>
      <c r="T36" s="12"/>
    </row>
    <row r="37" spans="1:20" ht="39" customHeight="1" x14ac:dyDescent="0.25">
      <c r="A37" s="12" t="s">
        <v>1462</v>
      </c>
      <c r="B37" s="12" t="s">
        <v>103</v>
      </c>
      <c r="C37" s="12" t="s">
        <v>104</v>
      </c>
      <c r="D37" s="12" t="s">
        <v>252</v>
      </c>
      <c r="E37" s="12" t="s">
        <v>17</v>
      </c>
      <c r="F37" s="12" t="s">
        <v>56</v>
      </c>
      <c r="G37" s="12" t="s">
        <v>1463</v>
      </c>
      <c r="H37" s="12" t="s">
        <v>1381</v>
      </c>
      <c r="I37" s="45">
        <v>45383</v>
      </c>
      <c r="J37" s="45">
        <v>45313</v>
      </c>
      <c r="K37" s="12" t="s">
        <v>59</v>
      </c>
      <c r="L37" s="12" t="s">
        <v>1464</v>
      </c>
      <c r="M37" s="12" t="s">
        <v>60</v>
      </c>
      <c r="N37" s="45"/>
      <c r="O37" s="12"/>
      <c r="P37" s="12"/>
      <c r="Q37" s="12" t="s">
        <v>60</v>
      </c>
      <c r="R37" s="12"/>
      <c r="S37" s="12"/>
      <c r="T37" s="12"/>
    </row>
    <row r="38" spans="1:20" ht="65.099999999999994" customHeight="1" x14ac:dyDescent="0.25">
      <c r="A38" s="12" t="s">
        <v>1465</v>
      </c>
      <c r="B38" s="12" t="s">
        <v>103</v>
      </c>
      <c r="C38" s="12" t="s">
        <v>104</v>
      </c>
      <c r="D38" s="12" t="s">
        <v>67</v>
      </c>
      <c r="E38" s="12" t="s">
        <v>19</v>
      </c>
      <c r="F38" s="12" t="s">
        <v>56</v>
      </c>
      <c r="G38" s="12" t="s">
        <v>1466</v>
      </c>
      <c r="H38" s="12" t="s">
        <v>90</v>
      </c>
      <c r="I38" s="45">
        <v>42064</v>
      </c>
      <c r="J38" s="45"/>
      <c r="K38" s="12" t="s">
        <v>59</v>
      </c>
      <c r="L38" s="12"/>
      <c r="M38" s="12" t="s">
        <v>60</v>
      </c>
      <c r="N38" s="45"/>
      <c r="O38" s="12"/>
      <c r="P38" s="12" t="s">
        <v>1467</v>
      </c>
      <c r="Q38" s="12" t="s">
        <v>60</v>
      </c>
      <c r="R38" s="12"/>
      <c r="S38" s="12"/>
      <c r="T38" s="12"/>
    </row>
    <row r="39" spans="1:20" ht="168.95" customHeight="1" x14ac:dyDescent="0.25">
      <c r="A39" s="12" t="s">
        <v>1464</v>
      </c>
      <c r="B39" s="12" t="s">
        <v>103</v>
      </c>
      <c r="C39" s="12" t="s">
        <v>104</v>
      </c>
      <c r="D39" s="12" t="s">
        <v>67</v>
      </c>
      <c r="E39" s="12" t="s">
        <v>17</v>
      </c>
      <c r="F39" s="12" t="s">
        <v>56</v>
      </c>
      <c r="G39" s="12" t="s">
        <v>1468</v>
      </c>
      <c r="H39" s="12" t="s">
        <v>90</v>
      </c>
      <c r="I39" s="45">
        <v>42064</v>
      </c>
      <c r="J39" s="45"/>
      <c r="K39" s="12" t="s">
        <v>59</v>
      </c>
      <c r="L39" s="12"/>
      <c r="M39" s="12" t="s">
        <v>60</v>
      </c>
      <c r="N39" s="45"/>
      <c r="O39" s="12"/>
      <c r="P39" s="12" t="s">
        <v>1467</v>
      </c>
      <c r="Q39" s="12" t="s">
        <v>60</v>
      </c>
      <c r="R39" s="12"/>
      <c r="S39" s="12"/>
      <c r="T39" s="12"/>
    </row>
    <row r="40" spans="1:20" ht="78" customHeight="1" x14ac:dyDescent="0.25">
      <c r="A40" s="12" t="s">
        <v>1469</v>
      </c>
      <c r="B40" s="12" t="s">
        <v>103</v>
      </c>
      <c r="C40" s="12" t="s">
        <v>104</v>
      </c>
      <c r="D40" s="12" t="s">
        <v>67</v>
      </c>
      <c r="E40" s="12" t="s">
        <v>21</v>
      </c>
      <c r="F40" s="12" t="s">
        <v>56</v>
      </c>
      <c r="G40" s="12" t="s">
        <v>1470</v>
      </c>
      <c r="H40" s="12" t="s">
        <v>90</v>
      </c>
      <c r="I40" s="45">
        <v>42064</v>
      </c>
      <c r="J40" s="45"/>
      <c r="K40" s="12" t="s">
        <v>59</v>
      </c>
      <c r="L40" s="12"/>
      <c r="M40" s="12" t="s">
        <v>60</v>
      </c>
      <c r="N40" s="45"/>
      <c r="O40" s="12"/>
      <c r="P40" s="12" t="s">
        <v>1467</v>
      </c>
      <c r="Q40" s="12" t="s">
        <v>60</v>
      </c>
      <c r="R40" s="12"/>
      <c r="S40" s="12"/>
      <c r="T40" s="12"/>
    </row>
    <row r="41" spans="1:20" ht="65.099999999999994" customHeight="1" x14ac:dyDescent="0.25">
      <c r="A41" s="12" t="s">
        <v>1471</v>
      </c>
      <c r="B41" s="12" t="s">
        <v>106</v>
      </c>
      <c r="C41" s="12" t="s">
        <v>582</v>
      </c>
      <c r="D41" s="12" t="s">
        <v>220</v>
      </c>
      <c r="E41" s="12" t="s">
        <v>17</v>
      </c>
      <c r="F41" s="12" t="s">
        <v>56</v>
      </c>
      <c r="G41" s="12" t="s">
        <v>1472</v>
      </c>
      <c r="H41" s="12" t="s">
        <v>1381</v>
      </c>
      <c r="I41" s="45">
        <v>44927</v>
      </c>
      <c r="J41" s="45">
        <v>44739</v>
      </c>
      <c r="K41" s="12" t="s">
        <v>59</v>
      </c>
      <c r="L41" s="12"/>
      <c r="M41" s="12" t="s">
        <v>60</v>
      </c>
      <c r="N41" s="45"/>
      <c r="O41" s="12"/>
      <c r="P41" s="12"/>
      <c r="Q41" s="12" t="s">
        <v>60</v>
      </c>
      <c r="R41" s="12"/>
      <c r="S41" s="12"/>
      <c r="T41" s="12"/>
    </row>
    <row r="42" spans="1:20" ht="65.099999999999994" customHeight="1" x14ac:dyDescent="0.25">
      <c r="A42" s="12" t="s">
        <v>1473</v>
      </c>
      <c r="B42" s="12" t="s">
        <v>106</v>
      </c>
      <c r="C42" s="12" t="s">
        <v>582</v>
      </c>
      <c r="D42" s="12" t="s">
        <v>220</v>
      </c>
      <c r="E42" s="12" t="s">
        <v>21</v>
      </c>
      <c r="F42" s="12" t="s">
        <v>56</v>
      </c>
      <c r="G42" s="12" t="s">
        <v>1474</v>
      </c>
      <c r="H42" s="12" t="s">
        <v>1381</v>
      </c>
      <c r="I42" s="45">
        <v>45108</v>
      </c>
      <c r="J42" s="45">
        <v>45108</v>
      </c>
      <c r="K42" s="12" t="s">
        <v>59</v>
      </c>
      <c r="L42" s="12"/>
      <c r="M42" s="12" t="s">
        <v>60</v>
      </c>
      <c r="N42" s="45"/>
      <c r="O42" s="12"/>
      <c r="P42" s="12"/>
      <c r="Q42" s="12" t="s">
        <v>60</v>
      </c>
      <c r="R42" s="12"/>
      <c r="S42" s="12"/>
      <c r="T42" s="12"/>
    </row>
    <row r="43" spans="1:20" ht="168.95" customHeight="1" x14ac:dyDescent="0.25">
      <c r="A43" s="12" t="s">
        <v>1475</v>
      </c>
      <c r="B43" s="12" t="s">
        <v>106</v>
      </c>
      <c r="C43" s="12" t="s">
        <v>582</v>
      </c>
      <c r="D43" s="12" t="s">
        <v>220</v>
      </c>
      <c r="E43" s="12" t="s">
        <v>19</v>
      </c>
      <c r="F43" s="12" t="s">
        <v>56</v>
      </c>
      <c r="G43" s="12" t="s">
        <v>1476</v>
      </c>
      <c r="H43" s="12" t="s">
        <v>1381</v>
      </c>
      <c r="I43" s="45">
        <v>45280</v>
      </c>
      <c r="J43" s="45">
        <v>45279</v>
      </c>
      <c r="K43" s="12" t="s">
        <v>59</v>
      </c>
      <c r="L43" s="12" t="s">
        <v>1477</v>
      </c>
      <c r="M43" s="12" t="s">
        <v>60</v>
      </c>
      <c r="N43" s="45"/>
      <c r="O43" s="12"/>
      <c r="P43" s="12" t="s">
        <v>1478</v>
      </c>
      <c r="Q43" s="12" t="s">
        <v>60</v>
      </c>
      <c r="R43" s="12"/>
      <c r="S43" s="12"/>
      <c r="T43" s="12"/>
    </row>
    <row r="44" spans="1:20" ht="168.95" customHeight="1" x14ac:dyDescent="0.25">
      <c r="A44" s="12" t="s">
        <v>1477</v>
      </c>
      <c r="B44" s="12" t="s">
        <v>106</v>
      </c>
      <c r="C44" s="12" t="s">
        <v>107</v>
      </c>
      <c r="D44" s="12" t="s">
        <v>67</v>
      </c>
      <c r="E44" s="12" t="s">
        <v>19</v>
      </c>
      <c r="F44" s="12" t="s">
        <v>56</v>
      </c>
      <c r="G44" s="12" t="s">
        <v>1479</v>
      </c>
      <c r="H44" s="12" t="s">
        <v>90</v>
      </c>
      <c r="I44" s="45">
        <v>42552</v>
      </c>
      <c r="J44" s="45"/>
      <c r="K44" s="12" t="s">
        <v>91</v>
      </c>
      <c r="L44" s="12"/>
      <c r="M44" s="12" t="s">
        <v>60</v>
      </c>
      <c r="N44" s="45"/>
      <c r="O44" s="12"/>
      <c r="P44" s="12"/>
      <c r="Q44" s="12" t="s">
        <v>60</v>
      </c>
      <c r="R44" s="12"/>
      <c r="S44" s="12"/>
      <c r="T44" s="12"/>
    </row>
    <row r="45" spans="1:20" ht="51.95" customHeight="1" x14ac:dyDescent="0.25">
      <c r="A45" s="12" t="s">
        <v>1480</v>
      </c>
      <c r="B45" s="12" t="s">
        <v>106</v>
      </c>
      <c r="C45" s="12" t="s">
        <v>582</v>
      </c>
      <c r="D45" s="12" t="s">
        <v>232</v>
      </c>
      <c r="E45" s="12" t="s">
        <v>19</v>
      </c>
      <c r="F45" s="12" t="s">
        <v>56</v>
      </c>
      <c r="G45" s="12" t="s">
        <v>1481</v>
      </c>
      <c r="H45" s="12" t="s">
        <v>1381</v>
      </c>
      <c r="I45" s="45">
        <v>44011</v>
      </c>
      <c r="J45" s="45">
        <v>44011</v>
      </c>
      <c r="K45" s="12" t="s">
        <v>91</v>
      </c>
      <c r="L45" s="12" t="s">
        <v>1477</v>
      </c>
      <c r="M45" s="12" t="s">
        <v>60</v>
      </c>
      <c r="N45" s="45"/>
      <c r="O45" s="12"/>
      <c r="P45" s="12" t="s">
        <v>1482</v>
      </c>
      <c r="Q45" s="12" t="s">
        <v>60</v>
      </c>
      <c r="R45" s="12"/>
      <c r="S45" s="12"/>
      <c r="T45" s="12"/>
    </row>
    <row r="46" spans="1:20" ht="39" customHeight="1" x14ac:dyDescent="0.25">
      <c r="A46" s="12" t="s">
        <v>1483</v>
      </c>
      <c r="B46" s="12" t="s">
        <v>106</v>
      </c>
      <c r="C46" s="12" t="s">
        <v>107</v>
      </c>
      <c r="D46" s="12" t="s">
        <v>55</v>
      </c>
      <c r="E46" s="12" t="s">
        <v>19</v>
      </c>
      <c r="F46" s="12" t="s">
        <v>56</v>
      </c>
      <c r="G46" s="12" t="s">
        <v>1484</v>
      </c>
      <c r="H46" s="12" t="s">
        <v>90</v>
      </c>
      <c r="I46" s="45">
        <v>43282</v>
      </c>
      <c r="J46" s="45">
        <v>43178</v>
      </c>
      <c r="K46" s="12" t="s">
        <v>91</v>
      </c>
      <c r="L46" s="12" t="s">
        <v>1477</v>
      </c>
      <c r="M46" s="12" t="s">
        <v>60</v>
      </c>
      <c r="N46" s="45"/>
      <c r="O46" s="12"/>
      <c r="P46" s="12" t="s">
        <v>1485</v>
      </c>
      <c r="Q46" s="12" t="s">
        <v>60</v>
      </c>
      <c r="R46" s="12"/>
      <c r="S46" s="12"/>
      <c r="T46" s="12"/>
    </row>
    <row r="47" spans="1:20" ht="65.099999999999994" customHeight="1" x14ac:dyDescent="0.25">
      <c r="A47" s="12" t="s">
        <v>1486</v>
      </c>
      <c r="B47" s="12" t="s">
        <v>106</v>
      </c>
      <c r="C47" s="12" t="s">
        <v>582</v>
      </c>
      <c r="D47" s="12" t="s">
        <v>228</v>
      </c>
      <c r="E47" s="12" t="s">
        <v>19</v>
      </c>
      <c r="F47" s="12" t="s">
        <v>56</v>
      </c>
      <c r="G47" s="12" t="s">
        <v>1487</v>
      </c>
      <c r="H47" s="12" t="s">
        <v>1381</v>
      </c>
      <c r="I47" s="45">
        <v>44470</v>
      </c>
      <c r="J47" s="45">
        <v>44376</v>
      </c>
      <c r="K47" s="12" t="s">
        <v>91</v>
      </c>
      <c r="L47" s="12" t="s">
        <v>1477</v>
      </c>
      <c r="M47" s="12" t="s">
        <v>60</v>
      </c>
      <c r="N47" s="45"/>
      <c r="O47" s="12"/>
      <c r="P47" s="12" t="s">
        <v>1488</v>
      </c>
      <c r="Q47" s="12" t="s">
        <v>60</v>
      </c>
      <c r="R47" s="12"/>
      <c r="S47" s="12"/>
      <c r="T47" s="12"/>
    </row>
    <row r="48" spans="1:20" ht="39" customHeight="1" x14ac:dyDescent="0.25">
      <c r="A48" s="12" t="s">
        <v>1489</v>
      </c>
      <c r="B48" s="12" t="s">
        <v>106</v>
      </c>
      <c r="C48" s="12" t="s">
        <v>107</v>
      </c>
      <c r="D48" s="12" t="s">
        <v>1490</v>
      </c>
      <c r="E48" s="12" t="s">
        <v>30</v>
      </c>
      <c r="F48" s="12" t="s">
        <v>56</v>
      </c>
      <c r="G48" s="12" t="s">
        <v>1491</v>
      </c>
      <c r="H48" s="12" t="s">
        <v>1381</v>
      </c>
      <c r="I48" s="45">
        <v>40238</v>
      </c>
      <c r="J48" s="45"/>
      <c r="K48" s="12" t="s">
        <v>59</v>
      </c>
      <c r="L48" s="12"/>
      <c r="M48" s="12" t="s">
        <v>60</v>
      </c>
      <c r="N48" s="45"/>
      <c r="O48" s="12"/>
      <c r="P48" s="12"/>
      <c r="Q48" s="12" t="s">
        <v>60</v>
      </c>
      <c r="R48" s="12"/>
      <c r="S48" s="12"/>
      <c r="T48" s="12"/>
    </row>
    <row r="49" spans="1:20" ht="143.1" customHeight="1" x14ac:dyDescent="0.25">
      <c r="A49" s="12" t="s">
        <v>1492</v>
      </c>
      <c r="B49" s="12" t="s">
        <v>109</v>
      </c>
      <c r="C49" s="12" t="s">
        <v>110</v>
      </c>
      <c r="D49" s="12" t="s">
        <v>228</v>
      </c>
      <c r="E49" s="12" t="s">
        <v>17</v>
      </c>
      <c r="F49" s="12" t="s">
        <v>56</v>
      </c>
      <c r="G49" s="12" t="s">
        <v>1493</v>
      </c>
      <c r="H49" s="12" t="s">
        <v>90</v>
      </c>
      <c r="I49" s="45">
        <v>44224</v>
      </c>
      <c r="J49" s="45">
        <v>44223</v>
      </c>
      <c r="K49" s="12" t="s">
        <v>59</v>
      </c>
      <c r="L49" s="12" t="s">
        <v>1494</v>
      </c>
      <c r="M49" s="12" t="s">
        <v>60</v>
      </c>
      <c r="N49" s="45"/>
      <c r="O49" s="12"/>
      <c r="P49" s="12" t="s">
        <v>1495</v>
      </c>
      <c r="Q49" s="12" t="s">
        <v>60</v>
      </c>
      <c r="R49" s="12"/>
      <c r="S49" s="12"/>
      <c r="T49" s="12"/>
    </row>
    <row r="50" spans="1:20" ht="90.95" customHeight="1" x14ac:dyDescent="0.25">
      <c r="A50" s="12" t="s">
        <v>1496</v>
      </c>
      <c r="B50" s="12" t="s">
        <v>109</v>
      </c>
      <c r="C50" s="12" t="s">
        <v>110</v>
      </c>
      <c r="D50" s="12" t="s">
        <v>228</v>
      </c>
      <c r="E50" s="12" t="s">
        <v>21</v>
      </c>
      <c r="F50" s="12" t="s">
        <v>56</v>
      </c>
      <c r="G50" s="12" t="s">
        <v>1497</v>
      </c>
      <c r="H50" s="12" t="s">
        <v>1381</v>
      </c>
      <c r="I50" s="45">
        <v>44224</v>
      </c>
      <c r="J50" s="45">
        <v>44223</v>
      </c>
      <c r="K50" s="12" t="s">
        <v>59</v>
      </c>
      <c r="L50" s="12" t="s">
        <v>1498</v>
      </c>
      <c r="M50" s="12" t="s">
        <v>60</v>
      </c>
      <c r="N50" s="45"/>
      <c r="O50" s="12"/>
      <c r="P50" s="12" t="s">
        <v>1495</v>
      </c>
      <c r="Q50" s="12" t="s">
        <v>60</v>
      </c>
      <c r="R50" s="12"/>
      <c r="S50" s="12"/>
      <c r="T50" s="12"/>
    </row>
    <row r="51" spans="1:20" ht="234" customHeight="1" x14ac:dyDescent="0.25">
      <c r="A51" s="12" t="s">
        <v>1499</v>
      </c>
      <c r="B51" s="12" t="s">
        <v>109</v>
      </c>
      <c r="C51" s="12" t="s">
        <v>110</v>
      </c>
      <c r="D51" s="12" t="s">
        <v>220</v>
      </c>
      <c r="E51" s="12" t="s">
        <v>21</v>
      </c>
      <c r="F51" s="12" t="s">
        <v>56</v>
      </c>
      <c r="G51" s="12" t="s">
        <v>1500</v>
      </c>
      <c r="H51" s="12" t="s">
        <v>1381</v>
      </c>
      <c r="I51" s="45">
        <v>45108</v>
      </c>
      <c r="J51" s="45">
        <v>45106</v>
      </c>
      <c r="K51" s="12" t="s">
        <v>59</v>
      </c>
      <c r="L51" s="12" t="s">
        <v>1498</v>
      </c>
      <c r="M51" s="12" t="s">
        <v>60</v>
      </c>
      <c r="N51" s="45"/>
      <c r="O51" s="12"/>
      <c r="P51" s="12" t="s">
        <v>1501</v>
      </c>
      <c r="Q51" s="12" t="s">
        <v>60</v>
      </c>
      <c r="R51" s="12"/>
      <c r="S51" s="12"/>
      <c r="T51" s="12"/>
    </row>
    <row r="52" spans="1:20" ht="143.1" customHeight="1" x14ac:dyDescent="0.25">
      <c r="A52" s="12" t="s">
        <v>1502</v>
      </c>
      <c r="B52" s="12" t="s">
        <v>109</v>
      </c>
      <c r="C52" s="12" t="s">
        <v>110</v>
      </c>
      <c r="D52" s="12" t="s">
        <v>220</v>
      </c>
      <c r="E52" s="12" t="s">
        <v>17</v>
      </c>
      <c r="F52" s="12" t="s">
        <v>56</v>
      </c>
      <c r="G52" s="12" t="s">
        <v>1503</v>
      </c>
      <c r="H52" s="12" t="s">
        <v>1381</v>
      </c>
      <c r="I52" s="45">
        <v>45108</v>
      </c>
      <c r="J52" s="45">
        <v>45106</v>
      </c>
      <c r="K52" s="12" t="s">
        <v>59</v>
      </c>
      <c r="L52" s="12" t="s">
        <v>1494</v>
      </c>
      <c r="M52" s="12" t="s">
        <v>60</v>
      </c>
      <c r="N52" s="45"/>
      <c r="O52" s="12"/>
      <c r="P52" s="12" t="s">
        <v>1501</v>
      </c>
      <c r="Q52" s="12" t="s">
        <v>60</v>
      </c>
      <c r="R52" s="12"/>
      <c r="S52" s="12"/>
      <c r="T52" s="12"/>
    </row>
    <row r="53" spans="1:20" ht="51.95" customHeight="1" x14ac:dyDescent="0.25">
      <c r="A53" s="12" t="s">
        <v>1494</v>
      </c>
      <c r="B53" s="12" t="s">
        <v>109</v>
      </c>
      <c r="C53" s="12" t="s">
        <v>110</v>
      </c>
      <c r="D53" s="12" t="s">
        <v>236</v>
      </c>
      <c r="E53" s="12" t="s">
        <v>17</v>
      </c>
      <c r="F53" s="12" t="s">
        <v>56</v>
      </c>
      <c r="G53" s="12" t="s">
        <v>1504</v>
      </c>
      <c r="H53" s="12" t="s">
        <v>90</v>
      </c>
      <c r="I53" s="45">
        <v>43831</v>
      </c>
      <c r="J53" s="45">
        <v>43811</v>
      </c>
      <c r="K53" s="12" t="s">
        <v>91</v>
      </c>
      <c r="L53" s="12"/>
      <c r="M53" s="12" t="s">
        <v>60</v>
      </c>
      <c r="N53" s="45"/>
      <c r="O53" s="12"/>
      <c r="P53" s="12" t="s">
        <v>1505</v>
      </c>
      <c r="Q53" s="12" t="s">
        <v>60</v>
      </c>
      <c r="R53" s="12"/>
      <c r="S53" s="12"/>
      <c r="T53" s="12"/>
    </row>
    <row r="54" spans="1:20" ht="39" customHeight="1" x14ac:dyDescent="0.25">
      <c r="A54" s="12" t="s">
        <v>1498</v>
      </c>
      <c r="B54" s="12" t="s">
        <v>109</v>
      </c>
      <c r="C54" s="12" t="s">
        <v>110</v>
      </c>
      <c r="D54" s="12" t="s">
        <v>236</v>
      </c>
      <c r="E54" s="12" t="s">
        <v>21</v>
      </c>
      <c r="F54" s="12" t="s">
        <v>56</v>
      </c>
      <c r="G54" s="12" t="s">
        <v>1506</v>
      </c>
      <c r="H54" s="12" t="s">
        <v>90</v>
      </c>
      <c r="I54" s="45">
        <v>43831</v>
      </c>
      <c r="J54" s="45">
        <v>43811</v>
      </c>
      <c r="K54" s="12" t="s">
        <v>91</v>
      </c>
      <c r="L54" s="12"/>
      <c r="M54" s="12" t="s">
        <v>60</v>
      </c>
      <c r="N54" s="45"/>
      <c r="O54" s="12"/>
      <c r="P54" s="12" t="s">
        <v>1505</v>
      </c>
      <c r="Q54" s="12" t="s">
        <v>60</v>
      </c>
      <c r="R54" s="12"/>
      <c r="S54" s="12"/>
      <c r="T54" s="12"/>
    </row>
    <row r="55" spans="1:20" ht="273" customHeight="1" x14ac:dyDescent="0.25">
      <c r="A55" s="12" t="s">
        <v>1507</v>
      </c>
      <c r="B55" s="12" t="s">
        <v>109</v>
      </c>
      <c r="C55" s="12" t="s">
        <v>110</v>
      </c>
      <c r="D55" s="12" t="s">
        <v>228</v>
      </c>
      <c r="E55" s="12" t="s">
        <v>21</v>
      </c>
      <c r="F55" s="12" t="s">
        <v>56</v>
      </c>
      <c r="G55" s="12" t="s">
        <v>1508</v>
      </c>
      <c r="H55" s="12" t="s">
        <v>1381</v>
      </c>
      <c r="I55" s="45">
        <v>44562</v>
      </c>
      <c r="J55" s="45">
        <v>44468</v>
      </c>
      <c r="K55" s="12" t="s">
        <v>59</v>
      </c>
      <c r="L55" s="12" t="s">
        <v>1498</v>
      </c>
      <c r="M55" s="12" t="s">
        <v>60</v>
      </c>
      <c r="N55" s="45"/>
      <c r="O55" s="12"/>
      <c r="P55" s="12" t="s">
        <v>1509</v>
      </c>
      <c r="Q55" s="12" t="s">
        <v>60</v>
      </c>
      <c r="R55" s="12"/>
      <c r="S55" s="12"/>
      <c r="T55" s="12"/>
    </row>
    <row r="56" spans="1:20" ht="221.1" customHeight="1" x14ac:dyDescent="0.25">
      <c r="A56" s="12" t="s">
        <v>1510</v>
      </c>
      <c r="B56" s="12" t="s">
        <v>109</v>
      </c>
      <c r="C56" s="12" t="s">
        <v>110</v>
      </c>
      <c r="D56" s="12" t="s">
        <v>228</v>
      </c>
      <c r="E56" s="12" t="s">
        <v>17</v>
      </c>
      <c r="F56" s="12" t="s">
        <v>56</v>
      </c>
      <c r="G56" s="12" t="s">
        <v>1511</v>
      </c>
      <c r="H56" s="12" t="s">
        <v>1381</v>
      </c>
      <c r="I56" s="45">
        <v>44562</v>
      </c>
      <c r="J56" s="45">
        <v>44468</v>
      </c>
      <c r="K56" s="12" t="s">
        <v>59</v>
      </c>
      <c r="L56" s="12" t="s">
        <v>1494</v>
      </c>
      <c r="M56" s="12" t="s">
        <v>60</v>
      </c>
      <c r="N56" s="45"/>
      <c r="O56" s="12"/>
      <c r="P56" s="12" t="s">
        <v>1509</v>
      </c>
      <c r="Q56" s="12" t="s">
        <v>60</v>
      </c>
      <c r="R56" s="12"/>
      <c r="S56" s="12"/>
      <c r="T56" s="12"/>
    </row>
    <row r="57" spans="1:20" ht="65.099999999999994" customHeight="1" x14ac:dyDescent="0.25">
      <c r="A57" s="12" t="s">
        <v>1512</v>
      </c>
      <c r="B57" s="12" t="s">
        <v>109</v>
      </c>
      <c r="C57" s="12" t="s">
        <v>110</v>
      </c>
      <c r="D57" s="12" t="s">
        <v>220</v>
      </c>
      <c r="E57" s="12" t="s">
        <v>21</v>
      </c>
      <c r="F57" s="12" t="s">
        <v>56</v>
      </c>
      <c r="G57" s="12" t="s">
        <v>1513</v>
      </c>
      <c r="H57" s="12" t="s">
        <v>1381</v>
      </c>
      <c r="I57" s="45">
        <v>45293</v>
      </c>
      <c r="J57" s="45">
        <v>45264</v>
      </c>
      <c r="K57" s="12" t="s">
        <v>59</v>
      </c>
      <c r="L57" s="12" t="s">
        <v>1498</v>
      </c>
      <c r="M57" s="12" t="s">
        <v>60</v>
      </c>
      <c r="N57" s="45"/>
      <c r="O57" s="12"/>
      <c r="P57" s="12" t="s">
        <v>1514</v>
      </c>
      <c r="Q57" s="12" t="s">
        <v>60</v>
      </c>
      <c r="R57" s="12"/>
      <c r="S57" s="12"/>
      <c r="T57" s="12"/>
    </row>
    <row r="58" spans="1:20" ht="168.95" customHeight="1" x14ac:dyDescent="0.25">
      <c r="A58" s="12" t="s">
        <v>1515</v>
      </c>
      <c r="B58" s="12" t="s">
        <v>109</v>
      </c>
      <c r="C58" s="12" t="s">
        <v>110</v>
      </c>
      <c r="D58" s="12" t="s">
        <v>220</v>
      </c>
      <c r="E58" s="12" t="s">
        <v>17</v>
      </c>
      <c r="F58" s="12" t="s">
        <v>56</v>
      </c>
      <c r="G58" s="12" t="s">
        <v>1516</v>
      </c>
      <c r="H58" s="12" t="s">
        <v>1381</v>
      </c>
      <c r="I58" s="45">
        <v>45292</v>
      </c>
      <c r="J58" s="45">
        <v>45264</v>
      </c>
      <c r="K58" s="12" t="s">
        <v>59</v>
      </c>
      <c r="L58" s="12" t="s">
        <v>1494</v>
      </c>
      <c r="M58" s="12" t="s">
        <v>60</v>
      </c>
      <c r="N58" s="45"/>
      <c r="O58" s="12"/>
      <c r="P58" s="12" t="s">
        <v>1514</v>
      </c>
      <c r="Q58" s="12" t="s">
        <v>60</v>
      </c>
      <c r="R58" s="12"/>
      <c r="S58" s="12"/>
      <c r="T58" s="12"/>
    </row>
    <row r="59" spans="1:20" ht="39" customHeight="1" x14ac:dyDescent="0.25">
      <c r="A59" s="12" t="s">
        <v>1517</v>
      </c>
      <c r="B59" s="12" t="s">
        <v>115</v>
      </c>
      <c r="C59" s="12" t="s">
        <v>116</v>
      </c>
      <c r="D59" s="12" t="s">
        <v>252</v>
      </c>
      <c r="E59" s="12" t="s">
        <v>17</v>
      </c>
      <c r="F59" s="12" t="s">
        <v>56</v>
      </c>
      <c r="G59" s="12" t="s">
        <v>1518</v>
      </c>
      <c r="H59" s="12" t="s">
        <v>1381</v>
      </c>
      <c r="I59" s="45">
        <v>45658</v>
      </c>
      <c r="J59" s="45">
        <v>45359</v>
      </c>
      <c r="K59" s="12" t="s">
        <v>59</v>
      </c>
      <c r="L59" s="12"/>
      <c r="M59" s="12" t="s">
        <v>60</v>
      </c>
      <c r="N59" s="45"/>
      <c r="O59" s="12"/>
      <c r="P59" s="12" t="s">
        <v>1519</v>
      </c>
      <c r="Q59" s="12" t="s">
        <v>60</v>
      </c>
      <c r="R59" s="12"/>
      <c r="S59" s="12"/>
      <c r="T59" s="12"/>
    </row>
    <row r="60" spans="1:20" ht="51.95" customHeight="1" x14ac:dyDescent="0.25">
      <c r="A60" s="12" t="s">
        <v>1520</v>
      </c>
      <c r="B60" s="12" t="s">
        <v>115</v>
      </c>
      <c r="C60" s="12" t="s">
        <v>116</v>
      </c>
      <c r="D60" s="12" t="s">
        <v>252</v>
      </c>
      <c r="E60" s="12" t="s">
        <v>19</v>
      </c>
      <c r="F60" s="12" t="s">
        <v>56</v>
      </c>
      <c r="G60" s="12" t="s">
        <v>1521</v>
      </c>
      <c r="H60" s="12" t="s">
        <v>1381</v>
      </c>
      <c r="I60" s="45">
        <v>45658</v>
      </c>
      <c r="J60" s="45">
        <v>45359</v>
      </c>
      <c r="K60" s="12" t="s">
        <v>59</v>
      </c>
      <c r="L60" s="12"/>
      <c r="M60" s="12" t="s">
        <v>60</v>
      </c>
      <c r="N60" s="45"/>
      <c r="O60" s="12"/>
      <c r="P60" s="12" t="s">
        <v>1519</v>
      </c>
      <c r="Q60" s="12" t="s">
        <v>60</v>
      </c>
      <c r="R60" s="12"/>
      <c r="S60" s="12"/>
      <c r="T60" s="12"/>
    </row>
    <row r="61" spans="1:20" ht="104.1" customHeight="1" x14ac:dyDescent="0.25">
      <c r="A61" s="12" t="s">
        <v>1522</v>
      </c>
      <c r="B61" s="12" t="s">
        <v>121</v>
      </c>
      <c r="C61" s="12" t="s">
        <v>122</v>
      </c>
      <c r="D61" s="12" t="s">
        <v>220</v>
      </c>
      <c r="E61" s="12" t="s">
        <v>17</v>
      </c>
      <c r="F61" s="12" t="s">
        <v>56</v>
      </c>
      <c r="G61" s="12" t="s">
        <v>1523</v>
      </c>
      <c r="H61" s="12" t="s">
        <v>1381</v>
      </c>
      <c r="I61" s="45">
        <v>45108</v>
      </c>
      <c r="J61" s="45">
        <v>45036</v>
      </c>
      <c r="K61" s="12" t="s">
        <v>59</v>
      </c>
      <c r="L61" s="12"/>
      <c r="M61" s="12" t="s">
        <v>60</v>
      </c>
      <c r="N61" s="45"/>
      <c r="O61" s="12"/>
      <c r="P61" s="12" t="s">
        <v>1524</v>
      </c>
      <c r="Q61" s="12" t="s">
        <v>60</v>
      </c>
      <c r="R61" s="12"/>
      <c r="S61" s="12"/>
      <c r="T61" s="12"/>
    </row>
    <row r="62" spans="1:20" ht="117" customHeight="1" x14ac:dyDescent="0.25">
      <c r="A62" s="12" t="s">
        <v>1525</v>
      </c>
      <c r="B62" s="12" t="s">
        <v>121</v>
      </c>
      <c r="C62" s="12" t="s">
        <v>122</v>
      </c>
      <c r="D62" s="12" t="s">
        <v>126</v>
      </c>
      <c r="E62" s="12" t="s">
        <v>17</v>
      </c>
      <c r="F62" s="12" t="s">
        <v>56</v>
      </c>
      <c r="G62" s="12" t="s">
        <v>1526</v>
      </c>
      <c r="H62" s="12" t="s">
        <v>90</v>
      </c>
      <c r="I62" s="45">
        <v>42491</v>
      </c>
      <c r="J62" s="45"/>
      <c r="K62" s="12" t="s">
        <v>91</v>
      </c>
      <c r="L62" s="12" t="s">
        <v>1527</v>
      </c>
      <c r="M62" s="12" t="s">
        <v>60</v>
      </c>
      <c r="N62" s="45"/>
      <c r="O62" s="12"/>
      <c r="P62" s="12" t="s">
        <v>1528</v>
      </c>
      <c r="Q62" s="12" t="s">
        <v>60</v>
      </c>
      <c r="R62" s="12"/>
      <c r="S62" s="12"/>
      <c r="T62" s="12"/>
    </row>
    <row r="63" spans="1:20" ht="221.1" customHeight="1" x14ac:dyDescent="0.25">
      <c r="A63" s="12" t="s">
        <v>1527</v>
      </c>
      <c r="B63" s="12" t="s">
        <v>121</v>
      </c>
      <c r="C63" s="12" t="s">
        <v>122</v>
      </c>
      <c r="D63" s="12" t="s">
        <v>67</v>
      </c>
      <c r="E63" s="12" t="s">
        <v>17</v>
      </c>
      <c r="F63" s="12" t="s">
        <v>56</v>
      </c>
      <c r="G63" s="12" t="s">
        <v>1529</v>
      </c>
      <c r="H63" s="12" t="s">
        <v>90</v>
      </c>
      <c r="I63" s="45">
        <v>42005</v>
      </c>
      <c r="J63" s="45"/>
      <c r="K63" s="12" t="s">
        <v>91</v>
      </c>
      <c r="L63" s="12"/>
      <c r="M63" s="12" t="s">
        <v>60</v>
      </c>
      <c r="N63" s="45"/>
      <c r="O63" s="12"/>
      <c r="P63" s="12" t="s">
        <v>1530</v>
      </c>
      <c r="Q63" s="12" t="s">
        <v>60</v>
      </c>
      <c r="R63" s="12"/>
      <c r="S63" s="12"/>
      <c r="T63" s="12"/>
    </row>
    <row r="64" spans="1:20" ht="195" customHeight="1" x14ac:dyDescent="0.25">
      <c r="A64" s="12" t="s">
        <v>1531</v>
      </c>
      <c r="B64" s="12" t="s">
        <v>121</v>
      </c>
      <c r="C64" s="12" t="s">
        <v>122</v>
      </c>
      <c r="D64" s="12" t="s">
        <v>220</v>
      </c>
      <c r="E64" s="12" t="s">
        <v>19</v>
      </c>
      <c r="F64" s="12" t="s">
        <v>56</v>
      </c>
      <c r="G64" s="12" t="s">
        <v>1532</v>
      </c>
      <c r="H64" s="12" t="s">
        <v>1381</v>
      </c>
      <c r="I64" s="45">
        <v>45292</v>
      </c>
      <c r="J64" s="45">
        <v>45244</v>
      </c>
      <c r="K64" s="12" t="s">
        <v>59</v>
      </c>
      <c r="L64" s="12" t="s">
        <v>1533</v>
      </c>
      <c r="M64" s="12" t="s">
        <v>60</v>
      </c>
      <c r="N64" s="45"/>
      <c r="O64" s="12"/>
      <c r="P64" s="12" t="s">
        <v>1534</v>
      </c>
      <c r="Q64" s="12" t="s">
        <v>60</v>
      </c>
      <c r="R64" s="12"/>
      <c r="S64" s="12"/>
      <c r="T64" s="12"/>
    </row>
    <row r="65" spans="1:20" ht="182.1" customHeight="1" x14ac:dyDescent="0.25">
      <c r="A65" s="12" t="s">
        <v>1535</v>
      </c>
      <c r="B65" s="12" t="s">
        <v>121</v>
      </c>
      <c r="C65" s="12" t="s">
        <v>122</v>
      </c>
      <c r="D65" s="12" t="s">
        <v>55</v>
      </c>
      <c r="E65" s="12" t="s">
        <v>17</v>
      </c>
      <c r="F65" s="12" t="s">
        <v>56</v>
      </c>
      <c r="G65" s="12" t="s">
        <v>1536</v>
      </c>
      <c r="H65" s="12" t="s">
        <v>90</v>
      </c>
      <c r="I65" s="45">
        <v>43374</v>
      </c>
      <c r="J65" s="45">
        <v>43256</v>
      </c>
      <c r="K65" s="12" t="s">
        <v>59</v>
      </c>
      <c r="L65" s="12" t="s">
        <v>1527</v>
      </c>
      <c r="M65" s="12" t="s">
        <v>60</v>
      </c>
      <c r="N65" s="45"/>
      <c r="O65" s="12"/>
      <c r="P65" s="12"/>
      <c r="Q65" s="12" t="s">
        <v>60</v>
      </c>
      <c r="R65" s="12"/>
      <c r="S65" s="12"/>
      <c r="T65" s="12"/>
    </row>
    <row r="66" spans="1:20" ht="117" customHeight="1" x14ac:dyDescent="0.25">
      <c r="A66" s="12" t="s">
        <v>1537</v>
      </c>
      <c r="B66" s="12" t="s">
        <v>121</v>
      </c>
      <c r="C66" s="12" t="s">
        <v>122</v>
      </c>
      <c r="D66" s="12" t="s">
        <v>126</v>
      </c>
      <c r="E66" s="12" t="s">
        <v>19</v>
      </c>
      <c r="F66" s="12" t="s">
        <v>56</v>
      </c>
      <c r="G66" s="12" t="s">
        <v>1538</v>
      </c>
      <c r="H66" s="12" t="s">
        <v>1381</v>
      </c>
      <c r="I66" s="45">
        <v>42370</v>
      </c>
      <c r="J66" s="45"/>
      <c r="K66" s="12" t="s">
        <v>91</v>
      </c>
      <c r="L66" s="12" t="s">
        <v>1533</v>
      </c>
      <c r="M66" s="12" t="s">
        <v>60</v>
      </c>
      <c r="N66" s="45"/>
      <c r="O66" s="12"/>
      <c r="P66" s="12" t="s">
        <v>1528</v>
      </c>
      <c r="Q66" s="12" t="s">
        <v>60</v>
      </c>
      <c r="R66" s="12"/>
      <c r="S66" s="12"/>
      <c r="T66" s="12"/>
    </row>
    <row r="67" spans="1:20" ht="65.099999999999994" customHeight="1" x14ac:dyDescent="0.25">
      <c r="A67" s="12" t="s">
        <v>1533</v>
      </c>
      <c r="B67" s="12" t="s">
        <v>121</v>
      </c>
      <c r="C67" s="12" t="s">
        <v>122</v>
      </c>
      <c r="D67" s="12" t="s">
        <v>67</v>
      </c>
      <c r="E67" s="12" t="s">
        <v>19</v>
      </c>
      <c r="F67" s="12" t="s">
        <v>56</v>
      </c>
      <c r="G67" s="12" t="s">
        <v>1539</v>
      </c>
      <c r="H67" s="12" t="s">
        <v>90</v>
      </c>
      <c r="I67" s="45">
        <v>42005</v>
      </c>
      <c r="J67" s="45"/>
      <c r="K67" s="12" t="s">
        <v>91</v>
      </c>
      <c r="L67" s="12"/>
      <c r="M67" s="12" t="s">
        <v>60</v>
      </c>
      <c r="N67" s="45"/>
      <c r="O67" s="12"/>
      <c r="P67" s="12" t="s">
        <v>1530</v>
      </c>
      <c r="Q67" s="12" t="s">
        <v>60</v>
      </c>
      <c r="R67" s="12"/>
      <c r="S67" s="12"/>
      <c r="T67" s="12"/>
    </row>
    <row r="68" spans="1:20" ht="363.95" customHeight="1" x14ac:dyDescent="0.25">
      <c r="A68" s="12" t="s">
        <v>1540</v>
      </c>
      <c r="B68" s="12" t="s">
        <v>121</v>
      </c>
      <c r="C68" s="12" t="s">
        <v>122</v>
      </c>
      <c r="D68" s="12" t="s">
        <v>252</v>
      </c>
      <c r="E68" s="12" t="s">
        <v>19</v>
      </c>
      <c r="F68" s="12" t="s">
        <v>56</v>
      </c>
      <c r="G68" s="12" t="s">
        <v>1541</v>
      </c>
      <c r="H68" s="12" t="s">
        <v>90</v>
      </c>
      <c r="I68" s="45">
        <v>45638</v>
      </c>
      <c r="J68" s="45">
        <v>45635</v>
      </c>
      <c r="K68" s="12" t="s">
        <v>59</v>
      </c>
      <c r="L68" s="12" t="s">
        <v>1533</v>
      </c>
      <c r="M68" s="12" t="s">
        <v>60</v>
      </c>
      <c r="N68" s="45"/>
      <c r="O68" s="12"/>
      <c r="P68" s="12" t="s">
        <v>1542</v>
      </c>
      <c r="Q68" s="12" t="s">
        <v>60</v>
      </c>
      <c r="R68" s="12"/>
      <c r="S68" s="12"/>
      <c r="T68" s="12"/>
    </row>
    <row r="69" spans="1:20" ht="195" customHeight="1" x14ac:dyDescent="0.25">
      <c r="A69" s="12" t="s">
        <v>1543</v>
      </c>
      <c r="B69" s="12" t="s">
        <v>121</v>
      </c>
      <c r="C69" s="12" t="s">
        <v>122</v>
      </c>
      <c r="D69" s="12" t="s">
        <v>252</v>
      </c>
      <c r="E69" s="12" t="s">
        <v>17</v>
      </c>
      <c r="F69" s="12" t="s">
        <v>56</v>
      </c>
      <c r="G69" s="12" t="s">
        <v>1544</v>
      </c>
      <c r="H69" s="12" t="s">
        <v>1381</v>
      </c>
      <c r="I69" s="45">
        <v>45658</v>
      </c>
      <c r="J69" s="45">
        <v>45580</v>
      </c>
      <c r="K69" s="12" t="s">
        <v>59</v>
      </c>
      <c r="L69" s="12" t="s">
        <v>1522</v>
      </c>
      <c r="M69" s="12" t="s">
        <v>60</v>
      </c>
      <c r="N69" s="45"/>
      <c r="O69" s="12"/>
      <c r="P69" s="12" t="s">
        <v>1545</v>
      </c>
      <c r="Q69" s="12" t="s">
        <v>60</v>
      </c>
      <c r="R69" s="12"/>
      <c r="S69" s="12"/>
      <c r="T69" s="12"/>
    </row>
    <row r="70" spans="1:20" ht="312" customHeight="1" x14ac:dyDescent="0.25">
      <c r="A70" s="12" t="s">
        <v>1546</v>
      </c>
      <c r="B70" s="12" t="s">
        <v>121</v>
      </c>
      <c r="C70" s="12" t="s">
        <v>122</v>
      </c>
      <c r="D70" s="12" t="s">
        <v>236</v>
      </c>
      <c r="E70" s="12" t="s">
        <v>19</v>
      </c>
      <c r="F70" s="12" t="s">
        <v>56</v>
      </c>
      <c r="G70" s="12" t="s">
        <v>1547</v>
      </c>
      <c r="H70" s="12" t="s">
        <v>1381</v>
      </c>
      <c r="I70" s="45">
        <v>43647</v>
      </c>
      <c r="J70" s="45">
        <v>43630</v>
      </c>
      <c r="K70" s="12" t="s">
        <v>91</v>
      </c>
      <c r="L70" s="12" t="s">
        <v>1533</v>
      </c>
      <c r="M70" s="12" t="s">
        <v>60</v>
      </c>
      <c r="N70" s="45"/>
      <c r="O70" s="12"/>
      <c r="P70" s="12"/>
      <c r="Q70" s="12" t="s">
        <v>60</v>
      </c>
      <c r="R70" s="12"/>
      <c r="S70" s="12"/>
      <c r="T70" s="12"/>
    </row>
    <row r="71" spans="1:20" ht="409.5" customHeight="1" x14ac:dyDescent="0.25">
      <c r="A71" s="12" t="s">
        <v>1548</v>
      </c>
      <c r="B71" s="12" t="s">
        <v>124</v>
      </c>
      <c r="C71" s="12" t="s">
        <v>690</v>
      </c>
      <c r="D71" s="12" t="s">
        <v>224</v>
      </c>
      <c r="E71" s="12" t="s">
        <v>19</v>
      </c>
      <c r="F71" s="12" t="s">
        <v>56</v>
      </c>
      <c r="G71" s="12" t="s">
        <v>1549</v>
      </c>
      <c r="H71" s="12"/>
      <c r="I71" s="45">
        <v>44728</v>
      </c>
      <c r="J71" s="45">
        <v>44727</v>
      </c>
      <c r="K71" s="12" t="s">
        <v>59</v>
      </c>
      <c r="L71" s="12"/>
      <c r="M71" s="12" t="s">
        <v>60</v>
      </c>
      <c r="N71" s="45"/>
      <c r="O71" s="12"/>
      <c r="P71" s="12"/>
      <c r="Q71" s="12" t="s">
        <v>60</v>
      </c>
      <c r="R71" s="12"/>
      <c r="S71" s="12"/>
      <c r="T71" s="12"/>
    </row>
    <row r="72" spans="1:20" ht="377.1" customHeight="1" x14ac:dyDescent="0.25">
      <c r="A72" s="12" t="s">
        <v>1550</v>
      </c>
      <c r="B72" s="12" t="s">
        <v>124</v>
      </c>
      <c r="C72" s="12" t="s">
        <v>690</v>
      </c>
      <c r="D72" s="12" t="s">
        <v>224</v>
      </c>
      <c r="E72" s="12" t="s">
        <v>17</v>
      </c>
      <c r="F72" s="12" t="s">
        <v>56</v>
      </c>
      <c r="G72" s="12" t="s">
        <v>1551</v>
      </c>
      <c r="H72" s="12"/>
      <c r="I72" s="45">
        <v>44728</v>
      </c>
      <c r="J72" s="45">
        <v>44727</v>
      </c>
      <c r="K72" s="12" t="s">
        <v>59</v>
      </c>
      <c r="L72" s="12"/>
      <c r="M72" s="12" t="s">
        <v>60</v>
      </c>
      <c r="N72" s="45"/>
      <c r="O72" s="12"/>
      <c r="P72" s="12"/>
      <c r="Q72" s="12" t="s">
        <v>60</v>
      </c>
      <c r="R72" s="12"/>
      <c r="S72" s="12"/>
      <c r="T72" s="12"/>
    </row>
    <row r="73" spans="1:20" ht="409.5" customHeight="1" x14ac:dyDescent="0.25">
      <c r="A73" s="12" t="s">
        <v>1552</v>
      </c>
      <c r="B73" s="12" t="s">
        <v>124</v>
      </c>
      <c r="C73" s="12" t="s">
        <v>690</v>
      </c>
      <c r="D73" s="12" t="s">
        <v>228</v>
      </c>
      <c r="E73" s="12" t="s">
        <v>17</v>
      </c>
      <c r="F73" s="12" t="s">
        <v>56</v>
      </c>
      <c r="G73" s="12" t="s">
        <v>1553</v>
      </c>
      <c r="H73" s="12" t="s">
        <v>1381</v>
      </c>
      <c r="I73" s="45">
        <v>44531</v>
      </c>
      <c r="J73" s="45">
        <v>44467</v>
      </c>
      <c r="K73" s="12" t="s">
        <v>59</v>
      </c>
      <c r="L73" s="12"/>
      <c r="M73" s="12" t="s">
        <v>60</v>
      </c>
      <c r="N73" s="45"/>
      <c r="O73" s="12"/>
      <c r="P73" s="12" t="s">
        <v>1554</v>
      </c>
      <c r="Q73" s="12" t="s">
        <v>60</v>
      </c>
      <c r="R73" s="12"/>
      <c r="S73" s="12"/>
      <c r="T73" s="12"/>
    </row>
    <row r="74" spans="1:20" ht="260.10000000000002" customHeight="1" x14ac:dyDescent="0.25">
      <c r="A74" s="12" t="s">
        <v>1555</v>
      </c>
      <c r="B74" s="12" t="s">
        <v>124</v>
      </c>
      <c r="C74" s="12" t="s">
        <v>690</v>
      </c>
      <c r="D74" s="12" t="s">
        <v>228</v>
      </c>
      <c r="E74" s="12" t="s">
        <v>19</v>
      </c>
      <c r="F74" s="12" t="s">
        <v>56</v>
      </c>
      <c r="G74" s="12" t="s">
        <v>1556</v>
      </c>
      <c r="H74" s="12" t="s">
        <v>1381</v>
      </c>
      <c r="I74" s="45">
        <v>44407</v>
      </c>
      <c r="J74" s="45">
        <v>44376</v>
      </c>
      <c r="K74" s="12" t="s">
        <v>59</v>
      </c>
      <c r="L74" s="12" t="s">
        <v>1557</v>
      </c>
      <c r="M74" s="12" t="s">
        <v>60</v>
      </c>
      <c r="N74" s="45"/>
      <c r="O74" s="12"/>
      <c r="P74" s="12" t="s">
        <v>1558</v>
      </c>
      <c r="Q74" s="12" t="s">
        <v>60</v>
      </c>
      <c r="R74" s="12"/>
      <c r="S74" s="12"/>
      <c r="T74" s="12"/>
    </row>
    <row r="75" spans="1:20" ht="409.5" customHeight="1" x14ac:dyDescent="0.25">
      <c r="A75" s="12" t="s">
        <v>1557</v>
      </c>
      <c r="B75" s="12" t="s">
        <v>124</v>
      </c>
      <c r="C75" s="12" t="s">
        <v>125</v>
      </c>
      <c r="D75" s="12" t="s">
        <v>83</v>
      </c>
      <c r="E75" s="12" t="s">
        <v>19</v>
      </c>
      <c r="F75" s="12" t="s">
        <v>56</v>
      </c>
      <c r="G75" s="12" t="s">
        <v>1559</v>
      </c>
      <c r="H75" s="12" t="s">
        <v>90</v>
      </c>
      <c r="I75" s="45">
        <v>42936</v>
      </c>
      <c r="J75" s="45">
        <v>42933</v>
      </c>
      <c r="K75" s="12" t="s">
        <v>91</v>
      </c>
      <c r="L75" s="12"/>
      <c r="M75" s="12" t="s">
        <v>60</v>
      </c>
      <c r="N75" s="45"/>
      <c r="O75" s="12"/>
      <c r="P75" s="12"/>
      <c r="Q75" s="12" t="s">
        <v>60</v>
      </c>
      <c r="R75" s="12"/>
      <c r="S75" s="12"/>
      <c r="T75" s="12"/>
    </row>
    <row r="76" spans="1:20" ht="65.099999999999994" customHeight="1" x14ac:dyDescent="0.25">
      <c r="A76" s="12" t="s">
        <v>1560</v>
      </c>
      <c r="B76" s="12" t="s">
        <v>129</v>
      </c>
      <c r="C76" s="12" t="s">
        <v>130</v>
      </c>
      <c r="D76" s="12" t="s">
        <v>1561</v>
      </c>
      <c r="E76" s="12" t="s">
        <v>30</v>
      </c>
      <c r="F76" s="12" t="s">
        <v>56</v>
      </c>
      <c r="G76" s="12" t="s">
        <v>1562</v>
      </c>
      <c r="H76" s="12" t="s">
        <v>90</v>
      </c>
      <c r="I76" s="45">
        <v>40909</v>
      </c>
      <c r="J76" s="45"/>
      <c r="K76" s="12" t="s">
        <v>59</v>
      </c>
      <c r="L76" s="12"/>
      <c r="M76" s="12" t="s">
        <v>60</v>
      </c>
      <c r="N76" s="45"/>
      <c r="O76" s="12"/>
      <c r="P76" s="12" t="s">
        <v>1563</v>
      </c>
      <c r="Q76" s="12" t="s">
        <v>60</v>
      </c>
      <c r="R76" s="12"/>
      <c r="S76" s="12"/>
      <c r="T76" s="12"/>
    </row>
    <row r="77" spans="1:20" ht="65.099999999999994" customHeight="1" x14ac:dyDescent="0.25">
      <c r="A77" s="12" t="s">
        <v>1564</v>
      </c>
      <c r="B77" s="12" t="s">
        <v>129</v>
      </c>
      <c r="C77" s="12" t="s">
        <v>130</v>
      </c>
      <c r="D77" s="12" t="s">
        <v>67</v>
      </c>
      <c r="E77" s="12" t="s">
        <v>19</v>
      </c>
      <c r="F77" s="12" t="s">
        <v>56</v>
      </c>
      <c r="G77" s="12" t="s">
        <v>1565</v>
      </c>
      <c r="H77" s="12" t="s">
        <v>1381</v>
      </c>
      <c r="I77" s="45">
        <v>42044</v>
      </c>
      <c r="J77" s="45"/>
      <c r="K77" s="12" t="s">
        <v>59</v>
      </c>
      <c r="L77" s="12"/>
      <c r="M77" s="12" t="s">
        <v>60</v>
      </c>
      <c r="N77" s="45"/>
      <c r="O77" s="12"/>
      <c r="P77" s="12" t="s">
        <v>1566</v>
      </c>
      <c r="Q77" s="12" t="s">
        <v>60</v>
      </c>
      <c r="R77" s="12"/>
      <c r="S77" s="12"/>
      <c r="T77" s="12"/>
    </row>
    <row r="78" spans="1:20" ht="90.95" customHeight="1" x14ac:dyDescent="0.25">
      <c r="A78" s="12" t="s">
        <v>1567</v>
      </c>
      <c r="B78" s="12" t="s">
        <v>129</v>
      </c>
      <c r="C78" s="12" t="s">
        <v>130</v>
      </c>
      <c r="D78" s="12" t="s">
        <v>67</v>
      </c>
      <c r="E78" s="12" t="s">
        <v>18</v>
      </c>
      <c r="F78" s="12" t="s">
        <v>56</v>
      </c>
      <c r="G78" s="12" t="s">
        <v>1568</v>
      </c>
      <c r="H78" s="12" t="s">
        <v>90</v>
      </c>
      <c r="I78" s="45">
        <v>42044</v>
      </c>
      <c r="J78" s="45"/>
      <c r="K78" s="12" t="s">
        <v>59</v>
      </c>
      <c r="L78" s="12"/>
      <c r="M78" s="12" t="s">
        <v>60</v>
      </c>
      <c r="N78" s="45"/>
      <c r="O78" s="12"/>
      <c r="P78" s="12" t="s">
        <v>1566</v>
      </c>
      <c r="Q78" s="12" t="s">
        <v>60</v>
      </c>
      <c r="R78" s="12"/>
      <c r="S78" s="12"/>
      <c r="T78" s="12"/>
    </row>
    <row r="79" spans="1:20" ht="90.95" customHeight="1" x14ac:dyDescent="0.25">
      <c r="A79" s="12" t="s">
        <v>1569</v>
      </c>
      <c r="B79" s="12" t="s">
        <v>129</v>
      </c>
      <c r="C79" s="12" t="s">
        <v>130</v>
      </c>
      <c r="D79" s="12" t="s">
        <v>224</v>
      </c>
      <c r="E79" s="12" t="s">
        <v>18</v>
      </c>
      <c r="F79" s="12" t="s">
        <v>56</v>
      </c>
      <c r="G79" s="12" t="s">
        <v>1570</v>
      </c>
      <c r="H79" s="12" t="s">
        <v>90</v>
      </c>
      <c r="I79" s="45">
        <v>44927</v>
      </c>
      <c r="J79" s="45">
        <v>44852</v>
      </c>
      <c r="K79" s="12" t="s">
        <v>59</v>
      </c>
      <c r="L79" s="12" t="s">
        <v>1567</v>
      </c>
      <c r="M79" s="12" t="s">
        <v>60</v>
      </c>
      <c r="N79" s="45"/>
      <c r="O79" s="12"/>
      <c r="P79" s="12" t="s">
        <v>1571</v>
      </c>
      <c r="Q79" s="12" t="s">
        <v>60</v>
      </c>
      <c r="R79" s="12"/>
      <c r="S79" s="12"/>
      <c r="T79" s="12"/>
    </row>
    <row r="80" spans="1:20" ht="26.1" customHeight="1" x14ac:dyDescent="0.25">
      <c r="A80" s="12" t="s">
        <v>1572</v>
      </c>
      <c r="B80" s="12" t="s">
        <v>129</v>
      </c>
      <c r="C80" s="12" t="s">
        <v>130</v>
      </c>
      <c r="D80" s="12" t="s">
        <v>224</v>
      </c>
      <c r="E80" s="12" t="s">
        <v>19</v>
      </c>
      <c r="F80" s="12" t="s">
        <v>56</v>
      </c>
      <c r="G80" s="12" t="s">
        <v>1573</v>
      </c>
      <c r="H80" s="12" t="s">
        <v>90</v>
      </c>
      <c r="I80" s="45">
        <v>44927</v>
      </c>
      <c r="J80" s="45">
        <v>44852</v>
      </c>
      <c r="K80" s="12" t="s">
        <v>59</v>
      </c>
      <c r="L80" s="12" t="s">
        <v>1564</v>
      </c>
      <c r="M80" s="12" t="s">
        <v>60</v>
      </c>
      <c r="N80" s="45"/>
      <c r="O80" s="12"/>
      <c r="P80" s="12" t="s">
        <v>1571</v>
      </c>
      <c r="Q80" s="12" t="s">
        <v>60</v>
      </c>
      <c r="R80" s="12"/>
      <c r="S80" s="12"/>
      <c r="T80" s="12"/>
    </row>
    <row r="81" spans="1:20" ht="156" customHeight="1" x14ac:dyDescent="0.25">
      <c r="A81" s="12" t="s">
        <v>1574</v>
      </c>
      <c r="B81" s="12" t="s">
        <v>129</v>
      </c>
      <c r="C81" s="12" t="s">
        <v>130</v>
      </c>
      <c r="D81" s="12" t="s">
        <v>126</v>
      </c>
      <c r="E81" s="12" t="s">
        <v>19</v>
      </c>
      <c r="F81" s="12" t="s">
        <v>56</v>
      </c>
      <c r="G81" s="12" t="s">
        <v>1575</v>
      </c>
      <c r="H81" s="12" t="s">
        <v>90</v>
      </c>
      <c r="I81" s="45">
        <v>42736</v>
      </c>
      <c r="J81" s="45">
        <v>42697</v>
      </c>
      <c r="K81" s="12" t="s">
        <v>59</v>
      </c>
      <c r="L81" s="12" t="s">
        <v>1564</v>
      </c>
      <c r="M81" s="12" t="s">
        <v>60</v>
      </c>
      <c r="N81" s="45"/>
      <c r="O81" s="12"/>
      <c r="P81" s="12" t="s">
        <v>1576</v>
      </c>
      <c r="Q81" s="12" t="s">
        <v>60</v>
      </c>
      <c r="R81" s="12"/>
      <c r="S81" s="12"/>
      <c r="T81" s="12"/>
    </row>
    <row r="82" spans="1:20" ht="39" customHeight="1" x14ac:dyDescent="0.25">
      <c r="A82" s="12" t="s">
        <v>1577</v>
      </c>
      <c r="B82" s="12" t="s">
        <v>129</v>
      </c>
      <c r="C82" s="12" t="s">
        <v>130</v>
      </c>
      <c r="D82" s="12" t="s">
        <v>83</v>
      </c>
      <c r="E82" s="12" t="s">
        <v>18</v>
      </c>
      <c r="F82" s="12" t="s">
        <v>56</v>
      </c>
      <c r="G82" s="12" t="s">
        <v>1578</v>
      </c>
      <c r="H82" s="12" t="s">
        <v>90</v>
      </c>
      <c r="I82" s="45">
        <v>43101</v>
      </c>
      <c r="J82" s="45">
        <v>43067</v>
      </c>
      <c r="K82" s="12" t="s">
        <v>59</v>
      </c>
      <c r="L82" s="12" t="s">
        <v>1567</v>
      </c>
      <c r="M82" s="12" t="s">
        <v>60</v>
      </c>
      <c r="N82" s="45"/>
      <c r="O82" s="12"/>
      <c r="P82" s="12" t="s">
        <v>1579</v>
      </c>
      <c r="Q82" s="12" t="s">
        <v>60</v>
      </c>
      <c r="R82" s="12"/>
      <c r="S82" s="12"/>
      <c r="T82" s="12"/>
    </row>
    <row r="83" spans="1:20" ht="168.95" customHeight="1" x14ac:dyDescent="0.25">
      <c r="A83" s="12" t="s">
        <v>1580</v>
      </c>
      <c r="B83" s="12" t="s">
        <v>129</v>
      </c>
      <c r="C83" s="12" t="s">
        <v>130</v>
      </c>
      <c r="D83" s="12" t="s">
        <v>83</v>
      </c>
      <c r="E83" s="12" t="s">
        <v>19</v>
      </c>
      <c r="F83" s="12" t="s">
        <v>56</v>
      </c>
      <c r="G83" s="12" t="s">
        <v>1581</v>
      </c>
      <c r="H83" s="12" t="s">
        <v>90</v>
      </c>
      <c r="I83" s="45">
        <v>43101</v>
      </c>
      <c r="J83" s="45">
        <v>43067</v>
      </c>
      <c r="K83" s="12" t="s">
        <v>59</v>
      </c>
      <c r="L83" s="12"/>
      <c r="M83" s="12" t="s">
        <v>60</v>
      </c>
      <c r="N83" s="45"/>
      <c r="O83" s="12"/>
      <c r="P83" s="12" t="s">
        <v>1579</v>
      </c>
      <c r="Q83" s="12" t="s">
        <v>60</v>
      </c>
      <c r="R83" s="12"/>
      <c r="S83" s="12"/>
      <c r="T83" s="12"/>
    </row>
    <row r="84" spans="1:20" ht="168.95" customHeight="1" x14ac:dyDescent="0.25">
      <c r="A84" s="12" t="s">
        <v>1582</v>
      </c>
      <c r="B84" s="12" t="s">
        <v>140</v>
      </c>
      <c r="C84" s="12" t="s">
        <v>141</v>
      </c>
      <c r="D84" s="12" t="s">
        <v>236</v>
      </c>
      <c r="E84" s="12" t="s">
        <v>19</v>
      </c>
      <c r="F84" s="12" t="s">
        <v>56</v>
      </c>
      <c r="G84" s="12" t="s">
        <v>1583</v>
      </c>
      <c r="H84" s="12" t="s">
        <v>1381</v>
      </c>
      <c r="I84" s="45">
        <v>43983</v>
      </c>
      <c r="J84" s="45">
        <v>43796</v>
      </c>
      <c r="K84" s="12" t="s">
        <v>91</v>
      </c>
      <c r="L84" s="12" t="s">
        <v>1584</v>
      </c>
      <c r="M84" s="12" t="s">
        <v>60</v>
      </c>
      <c r="N84" s="45"/>
      <c r="O84" s="12"/>
      <c r="P84" s="12"/>
      <c r="Q84" s="12" t="s">
        <v>60</v>
      </c>
      <c r="R84" s="12"/>
      <c r="S84" s="12"/>
      <c r="T84" s="12"/>
    </row>
    <row r="85" spans="1:20" ht="90.95" customHeight="1" x14ac:dyDescent="0.25">
      <c r="A85" s="12" t="s">
        <v>1585</v>
      </c>
      <c r="B85" s="12" t="s">
        <v>140</v>
      </c>
      <c r="C85" s="12" t="s">
        <v>141</v>
      </c>
      <c r="D85" s="12" t="s">
        <v>236</v>
      </c>
      <c r="E85" s="12" t="s">
        <v>21</v>
      </c>
      <c r="F85" s="12" t="s">
        <v>56</v>
      </c>
      <c r="G85" s="12" t="s">
        <v>1586</v>
      </c>
      <c r="H85" s="12" t="s">
        <v>90</v>
      </c>
      <c r="I85" s="45">
        <v>43983</v>
      </c>
      <c r="J85" s="45">
        <v>43796</v>
      </c>
      <c r="K85" s="12" t="s">
        <v>91</v>
      </c>
      <c r="L85" s="12"/>
      <c r="M85" s="12" t="s">
        <v>60</v>
      </c>
      <c r="N85" s="45"/>
      <c r="O85" s="12"/>
      <c r="P85" s="12"/>
      <c r="Q85" s="12" t="s">
        <v>60</v>
      </c>
      <c r="R85" s="12"/>
      <c r="S85" s="12"/>
      <c r="T85" s="12"/>
    </row>
    <row r="86" spans="1:20" ht="324.95" customHeight="1" x14ac:dyDescent="0.25">
      <c r="A86" s="12" t="s">
        <v>1587</v>
      </c>
      <c r="B86" s="12" t="s">
        <v>140</v>
      </c>
      <c r="C86" s="12" t="s">
        <v>141</v>
      </c>
      <c r="D86" s="12" t="s">
        <v>236</v>
      </c>
      <c r="E86" s="12" t="s">
        <v>1437</v>
      </c>
      <c r="F86" s="12" t="s">
        <v>56</v>
      </c>
      <c r="G86" s="12" t="s">
        <v>1588</v>
      </c>
      <c r="H86" s="12" t="s">
        <v>90</v>
      </c>
      <c r="I86" s="45">
        <v>43983</v>
      </c>
      <c r="J86" s="45">
        <v>43796</v>
      </c>
      <c r="K86" s="12" t="s">
        <v>91</v>
      </c>
      <c r="L86" s="12"/>
      <c r="M86" s="12" t="s">
        <v>60</v>
      </c>
      <c r="N86" s="45"/>
      <c r="O86" s="12"/>
      <c r="P86" s="12"/>
      <c r="Q86" s="12" t="s">
        <v>60</v>
      </c>
      <c r="R86" s="12"/>
      <c r="S86" s="12"/>
      <c r="T86" s="12"/>
    </row>
    <row r="87" spans="1:20" ht="143.1" customHeight="1" x14ac:dyDescent="0.25">
      <c r="A87" s="12" t="s">
        <v>1589</v>
      </c>
      <c r="B87" s="12" t="s">
        <v>140</v>
      </c>
      <c r="C87" s="12" t="s">
        <v>141</v>
      </c>
      <c r="D87" s="12" t="s">
        <v>236</v>
      </c>
      <c r="E87" s="12" t="s">
        <v>17</v>
      </c>
      <c r="F87" s="12" t="s">
        <v>56</v>
      </c>
      <c r="G87" s="12" t="s">
        <v>1590</v>
      </c>
      <c r="H87" s="12" t="s">
        <v>90</v>
      </c>
      <c r="I87" s="45">
        <v>43983</v>
      </c>
      <c r="J87" s="45">
        <v>43796</v>
      </c>
      <c r="K87" s="12" t="s">
        <v>91</v>
      </c>
      <c r="L87" s="12"/>
      <c r="M87" s="12" t="s">
        <v>60</v>
      </c>
      <c r="N87" s="45"/>
      <c r="O87" s="12"/>
      <c r="P87" s="12"/>
      <c r="Q87" s="12" t="s">
        <v>60</v>
      </c>
      <c r="R87" s="12"/>
      <c r="S87" s="12"/>
      <c r="T87" s="12"/>
    </row>
    <row r="88" spans="1:20" ht="409.5" customHeight="1" x14ac:dyDescent="0.25">
      <c r="A88" s="12" t="s">
        <v>1591</v>
      </c>
      <c r="B88" s="12" t="s">
        <v>140</v>
      </c>
      <c r="C88" s="12" t="s">
        <v>768</v>
      </c>
      <c r="D88" s="12" t="s">
        <v>220</v>
      </c>
      <c r="E88" s="12" t="s">
        <v>19</v>
      </c>
      <c r="F88" s="12" t="s">
        <v>56</v>
      </c>
      <c r="G88" s="12" t="s">
        <v>1592</v>
      </c>
      <c r="H88" s="12" t="s">
        <v>1381</v>
      </c>
      <c r="I88" s="45">
        <v>45292</v>
      </c>
      <c r="J88" s="45">
        <v>45278</v>
      </c>
      <c r="K88" s="12" t="s">
        <v>59</v>
      </c>
      <c r="L88" s="12" t="s">
        <v>1584</v>
      </c>
      <c r="M88" s="12" t="s">
        <v>60</v>
      </c>
      <c r="N88" s="45"/>
      <c r="O88" s="12"/>
      <c r="P88" s="12" t="s">
        <v>1593</v>
      </c>
      <c r="Q88" s="12" t="s">
        <v>60</v>
      </c>
      <c r="R88" s="12"/>
      <c r="S88" s="12"/>
      <c r="T88" s="12"/>
    </row>
    <row r="89" spans="1:20" ht="234" customHeight="1" x14ac:dyDescent="0.25">
      <c r="A89" s="12" t="s">
        <v>1594</v>
      </c>
      <c r="B89" s="12" t="s">
        <v>140</v>
      </c>
      <c r="C89" s="12" t="s">
        <v>768</v>
      </c>
      <c r="D89" s="12" t="s">
        <v>220</v>
      </c>
      <c r="E89" s="12" t="s">
        <v>1437</v>
      </c>
      <c r="F89" s="12" t="s">
        <v>56</v>
      </c>
      <c r="G89" s="12" t="s">
        <v>1595</v>
      </c>
      <c r="H89" s="12" t="s">
        <v>1381</v>
      </c>
      <c r="I89" s="45">
        <v>45292</v>
      </c>
      <c r="J89" s="45">
        <v>45278</v>
      </c>
      <c r="K89" s="12" t="s">
        <v>59</v>
      </c>
      <c r="L89" s="12" t="s">
        <v>1587</v>
      </c>
      <c r="M89" s="12" t="s">
        <v>60</v>
      </c>
      <c r="N89" s="45"/>
      <c r="O89" s="12"/>
      <c r="P89" s="12" t="s">
        <v>1593</v>
      </c>
      <c r="Q89" s="12" t="s">
        <v>60</v>
      </c>
      <c r="R89" s="12"/>
      <c r="S89" s="12"/>
      <c r="T89" s="12"/>
    </row>
    <row r="90" spans="1:20" ht="39" customHeight="1" x14ac:dyDescent="0.25">
      <c r="A90" s="12" t="s">
        <v>1596</v>
      </c>
      <c r="B90" s="12" t="s">
        <v>140</v>
      </c>
      <c r="C90" s="12" t="s">
        <v>768</v>
      </c>
      <c r="D90" s="12" t="s">
        <v>220</v>
      </c>
      <c r="E90" s="12" t="s">
        <v>17</v>
      </c>
      <c r="F90" s="12" t="s">
        <v>56</v>
      </c>
      <c r="G90" s="12" t="s">
        <v>1597</v>
      </c>
      <c r="H90" s="12" t="s">
        <v>1381</v>
      </c>
      <c r="I90" s="45">
        <v>45292</v>
      </c>
      <c r="J90" s="45">
        <v>45278</v>
      </c>
      <c r="K90" s="12" t="s">
        <v>59</v>
      </c>
      <c r="L90" s="12" t="s">
        <v>1589</v>
      </c>
      <c r="M90" s="12" t="s">
        <v>60</v>
      </c>
      <c r="N90" s="45"/>
      <c r="O90" s="12"/>
      <c r="P90" s="12" t="s">
        <v>1593</v>
      </c>
      <c r="Q90" s="12" t="s">
        <v>60</v>
      </c>
      <c r="R90" s="12"/>
      <c r="S90" s="12"/>
      <c r="T90" s="12"/>
    </row>
    <row r="91" spans="1:20" ht="26.1" customHeight="1" x14ac:dyDescent="0.25">
      <c r="A91" s="12" t="s">
        <v>1598</v>
      </c>
      <c r="B91" s="12" t="s">
        <v>140</v>
      </c>
      <c r="C91" s="12" t="s">
        <v>141</v>
      </c>
      <c r="D91" s="12" t="s">
        <v>228</v>
      </c>
      <c r="E91" s="12" t="s">
        <v>17</v>
      </c>
      <c r="F91" s="12" t="s">
        <v>56</v>
      </c>
      <c r="G91" s="12" t="s">
        <v>1599</v>
      </c>
      <c r="H91" s="12" t="s">
        <v>1381</v>
      </c>
      <c r="I91" s="45">
        <v>44562</v>
      </c>
      <c r="J91" s="45">
        <v>44315</v>
      </c>
      <c r="K91" s="12" t="s">
        <v>59</v>
      </c>
      <c r="L91" s="12" t="s">
        <v>1589</v>
      </c>
      <c r="M91" s="12" t="s">
        <v>60</v>
      </c>
      <c r="N91" s="45"/>
      <c r="O91" s="12"/>
      <c r="P91" s="12" t="s">
        <v>1600</v>
      </c>
      <c r="Q91" s="12" t="s">
        <v>60</v>
      </c>
      <c r="R91" s="12"/>
      <c r="S91" s="12"/>
      <c r="T91" s="12"/>
    </row>
    <row r="92" spans="1:20" ht="78" customHeight="1" x14ac:dyDescent="0.25">
      <c r="A92" s="12" t="s">
        <v>1601</v>
      </c>
      <c r="B92" s="12" t="s">
        <v>140</v>
      </c>
      <c r="C92" s="12" t="s">
        <v>141</v>
      </c>
      <c r="D92" s="12" t="s">
        <v>228</v>
      </c>
      <c r="E92" s="12" t="s">
        <v>1437</v>
      </c>
      <c r="F92" s="12" t="s">
        <v>56</v>
      </c>
      <c r="G92" s="12" t="s">
        <v>1602</v>
      </c>
      <c r="H92" s="12" t="s">
        <v>1381</v>
      </c>
      <c r="I92" s="45">
        <v>44562</v>
      </c>
      <c r="J92" s="45">
        <v>44315</v>
      </c>
      <c r="K92" s="12" t="s">
        <v>59</v>
      </c>
      <c r="L92" s="12" t="s">
        <v>1587</v>
      </c>
      <c r="M92" s="12" t="s">
        <v>60</v>
      </c>
      <c r="N92" s="45"/>
      <c r="O92" s="12"/>
      <c r="P92" s="12" t="s">
        <v>1600</v>
      </c>
      <c r="Q92" s="12" t="s">
        <v>60</v>
      </c>
      <c r="R92" s="12"/>
      <c r="S92" s="12"/>
      <c r="T92" s="12"/>
    </row>
    <row r="93" spans="1:20" ht="168.95" customHeight="1" x14ac:dyDescent="0.25">
      <c r="A93" s="12" t="s">
        <v>1603</v>
      </c>
      <c r="B93" s="12" t="s">
        <v>140</v>
      </c>
      <c r="C93" s="12" t="s">
        <v>141</v>
      </c>
      <c r="D93" s="12" t="s">
        <v>228</v>
      </c>
      <c r="E93" s="12" t="s">
        <v>21</v>
      </c>
      <c r="F93" s="12" t="s">
        <v>56</v>
      </c>
      <c r="G93" s="12" t="s">
        <v>1604</v>
      </c>
      <c r="H93" s="12" t="s">
        <v>1381</v>
      </c>
      <c r="I93" s="45">
        <v>44562</v>
      </c>
      <c r="J93" s="45">
        <v>44315</v>
      </c>
      <c r="K93" s="12" t="s">
        <v>59</v>
      </c>
      <c r="L93" s="12" t="s">
        <v>1585</v>
      </c>
      <c r="M93" s="12" t="s">
        <v>60</v>
      </c>
      <c r="N93" s="45"/>
      <c r="O93" s="12"/>
      <c r="P93" s="12" t="s">
        <v>1600</v>
      </c>
      <c r="Q93" s="12" t="s">
        <v>60</v>
      </c>
      <c r="R93" s="12"/>
      <c r="S93" s="12"/>
      <c r="T93" s="12"/>
    </row>
    <row r="94" spans="1:20" ht="168.95" customHeight="1" x14ac:dyDescent="0.25">
      <c r="A94" s="12" t="s">
        <v>1605</v>
      </c>
      <c r="B94" s="12" t="s">
        <v>140</v>
      </c>
      <c r="C94" s="12" t="s">
        <v>141</v>
      </c>
      <c r="D94" s="12" t="s">
        <v>228</v>
      </c>
      <c r="E94" s="12" t="s">
        <v>19</v>
      </c>
      <c r="F94" s="12" t="s">
        <v>56</v>
      </c>
      <c r="G94" s="12" t="s">
        <v>1606</v>
      </c>
      <c r="H94" s="12" t="s">
        <v>1381</v>
      </c>
      <c r="I94" s="45">
        <v>44562</v>
      </c>
      <c r="J94" s="45">
        <v>44315</v>
      </c>
      <c r="K94" s="12" t="s">
        <v>91</v>
      </c>
      <c r="L94" s="12" t="s">
        <v>1584</v>
      </c>
      <c r="M94" s="12" t="s">
        <v>60</v>
      </c>
      <c r="N94" s="45"/>
      <c r="O94" s="12"/>
      <c r="P94" s="12" t="s">
        <v>1600</v>
      </c>
      <c r="Q94" s="12" t="s">
        <v>60</v>
      </c>
      <c r="R94" s="12"/>
      <c r="S94" s="12"/>
      <c r="T94" s="12"/>
    </row>
    <row r="95" spans="1:20" ht="78" customHeight="1" x14ac:dyDescent="0.25">
      <c r="A95" s="12" t="s">
        <v>1607</v>
      </c>
      <c r="B95" s="12" t="s">
        <v>140</v>
      </c>
      <c r="C95" s="12" t="s">
        <v>768</v>
      </c>
      <c r="D95" s="12" t="s">
        <v>67</v>
      </c>
      <c r="E95" s="12" t="s">
        <v>19</v>
      </c>
      <c r="F95" s="12" t="s">
        <v>56</v>
      </c>
      <c r="G95" s="12" t="s">
        <v>1608</v>
      </c>
      <c r="H95" s="12" t="s">
        <v>90</v>
      </c>
      <c r="I95" s="45">
        <v>41821</v>
      </c>
      <c r="J95" s="45"/>
      <c r="K95" s="12" t="s">
        <v>59</v>
      </c>
      <c r="L95" s="12" t="s">
        <v>1584</v>
      </c>
      <c r="M95" s="12" t="s">
        <v>60</v>
      </c>
      <c r="N95" s="45"/>
      <c r="O95" s="12"/>
      <c r="P95" s="12"/>
      <c r="Q95" s="12" t="s">
        <v>60</v>
      </c>
      <c r="R95" s="12"/>
      <c r="S95" s="12"/>
      <c r="T95" s="12"/>
    </row>
    <row r="96" spans="1:20" ht="65.099999999999994" customHeight="1" x14ac:dyDescent="0.25">
      <c r="A96" s="12" t="s">
        <v>1584</v>
      </c>
      <c r="B96" s="12" t="s">
        <v>140</v>
      </c>
      <c r="C96" s="12" t="s">
        <v>768</v>
      </c>
      <c r="D96" s="12" t="s">
        <v>1609</v>
      </c>
      <c r="E96" s="12" t="s">
        <v>19</v>
      </c>
      <c r="F96" s="12" t="s">
        <v>56</v>
      </c>
      <c r="G96" s="12" t="s">
        <v>1610</v>
      </c>
      <c r="H96" s="12" t="s">
        <v>90</v>
      </c>
      <c r="I96" s="45">
        <v>39264</v>
      </c>
      <c r="J96" s="45"/>
      <c r="K96" s="12" t="s">
        <v>91</v>
      </c>
      <c r="L96" s="12"/>
      <c r="M96" s="12" t="s">
        <v>60</v>
      </c>
      <c r="N96" s="45"/>
      <c r="O96" s="12"/>
      <c r="P96" s="12"/>
      <c r="Q96" s="12" t="s">
        <v>60</v>
      </c>
      <c r="R96" s="12"/>
      <c r="S96" s="12"/>
      <c r="T96" s="12"/>
    </row>
    <row r="97" spans="1:20" ht="78" customHeight="1" x14ac:dyDescent="0.25">
      <c r="A97" s="12" t="s">
        <v>1611</v>
      </c>
      <c r="B97" s="12" t="s">
        <v>143</v>
      </c>
      <c r="C97" s="12" t="s">
        <v>144</v>
      </c>
      <c r="D97" s="12" t="s">
        <v>55</v>
      </c>
      <c r="E97" s="12" t="s">
        <v>25</v>
      </c>
      <c r="F97" s="12" t="s">
        <v>56</v>
      </c>
      <c r="G97" s="12" t="s">
        <v>1612</v>
      </c>
      <c r="H97" s="12" t="s">
        <v>1381</v>
      </c>
      <c r="I97" s="45">
        <v>42036</v>
      </c>
      <c r="J97" s="45">
        <v>42024</v>
      </c>
      <c r="K97" s="12" t="s">
        <v>91</v>
      </c>
      <c r="L97" s="12"/>
      <c r="M97" s="12" t="s">
        <v>60</v>
      </c>
      <c r="N97" s="45"/>
      <c r="O97" s="12"/>
      <c r="P97" s="12"/>
      <c r="Q97" s="12" t="s">
        <v>60</v>
      </c>
      <c r="R97" s="12"/>
      <c r="S97" s="12"/>
      <c r="T97" s="12"/>
    </row>
    <row r="98" spans="1:20" ht="90.95" customHeight="1" x14ac:dyDescent="0.25">
      <c r="A98" s="12" t="s">
        <v>1613</v>
      </c>
      <c r="B98" s="12" t="s">
        <v>143</v>
      </c>
      <c r="C98" s="12" t="s">
        <v>144</v>
      </c>
      <c r="D98" s="12" t="s">
        <v>77</v>
      </c>
      <c r="E98" s="12" t="s">
        <v>19</v>
      </c>
      <c r="F98" s="12" t="s">
        <v>56</v>
      </c>
      <c r="G98" s="12" t="s">
        <v>1614</v>
      </c>
      <c r="H98" s="12" t="s">
        <v>90</v>
      </c>
      <c r="I98" s="45">
        <v>42036</v>
      </c>
      <c r="J98" s="45"/>
      <c r="K98" s="12" t="s">
        <v>59</v>
      </c>
      <c r="L98" s="12"/>
      <c r="M98" s="12" t="s">
        <v>60</v>
      </c>
      <c r="N98" s="45"/>
      <c r="O98" s="12"/>
      <c r="P98" s="12"/>
      <c r="Q98" s="12" t="s">
        <v>60</v>
      </c>
      <c r="R98" s="12"/>
      <c r="S98" s="12"/>
      <c r="T98" s="12"/>
    </row>
    <row r="99" spans="1:20" ht="78" customHeight="1" x14ac:dyDescent="0.25">
      <c r="A99" s="12" t="s">
        <v>1615</v>
      </c>
      <c r="B99" s="12" t="s">
        <v>143</v>
      </c>
      <c r="C99" s="12" t="s">
        <v>144</v>
      </c>
      <c r="D99" s="12" t="s">
        <v>220</v>
      </c>
      <c r="E99" s="12" t="s">
        <v>25</v>
      </c>
      <c r="F99" s="12" t="s">
        <v>56</v>
      </c>
      <c r="G99" s="12" t="s">
        <v>1616</v>
      </c>
      <c r="H99" s="12" t="s">
        <v>1381</v>
      </c>
      <c r="I99" s="45">
        <v>45474</v>
      </c>
      <c r="J99" s="45">
        <v>45195</v>
      </c>
      <c r="K99" s="12" t="s">
        <v>59</v>
      </c>
      <c r="L99" s="12"/>
      <c r="M99" s="12" t="s">
        <v>60</v>
      </c>
      <c r="N99" s="45"/>
      <c r="O99" s="12"/>
      <c r="P99" s="12" t="s">
        <v>1617</v>
      </c>
      <c r="Q99" s="12" t="s">
        <v>60</v>
      </c>
      <c r="R99" s="12"/>
      <c r="S99" s="12"/>
      <c r="T99" s="12"/>
    </row>
    <row r="100" spans="1:20" ht="104.1" customHeight="1" x14ac:dyDescent="0.25">
      <c r="A100" s="12" t="s">
        <v>1618</v>
      </c>
      <c r="B100" s="12" t="s">
        <v>143</v>
      </c>
      <c r="C100" s="12" t="s">
        <v>144</v>
      </c>
      <c r="D100" s="12" t="s">
        <v>220</v>
      </c>
      <c r="E100" s="12" t="s">
        <v>25</v>
      </c>
      <c r="F100" s="12" t="s">
        <v>56</v>
      </c>
      <c r="G100" s="12" t="s">
        <v>1619</v>
      </c>
      <c r="H100" s="12" t="s">
        <v>1381</v>
      </c>
      <c r="I100" s="45">
        <v>45231</v>
      </c>
      <c r="J100" s="45">
        <v>45195</v>
      </c>
      <c r="K100" s="12" t="s">
        <v>59</v>
      </c>
      <c r="L100" s="12"/>
      <c r="M100" s="12" t="s">
        <v>60</v>
      </c>
      <c r="N100" s="45"/>
      <c r="O100" s="12"/>
      <c r="P100" s="12" t="s">
        <v>1617</v>
      </c>
      <c r="Q100" s="12" t="s">
        <v>60</v>
      </c>
      <c r="R100" s="12"/>
      <c r="S100" s="12"/>
      <c r="T100" s="12"/>
    </row>
    <row r="101" spans="1:20" ht="90.95" customHeight="1" x14ac:dyDescent="0.25">
      <c r="A101" s="12" t="s">
        <v>1620</v>
      </c>
      <c r="B101" s="12" t="s">
        <v>147</v>
      </c>
      <c r="C101" s="12" t="s">
        <v>148</v>
      </c>
      <c r="D101" s="12" t="s">
        <v>1621</v>
      </c>
      <c r="E101" s="12" t="s">
        <v>17</v>
      </c>
      <c r="F101" s="12" t="s">
        <v>56</v>
      </c>
      <c r="G101" s="12" t="s">
        <v>1622</v>
      </c>
      <c r="H101" s="12" t="s">
        <v>90</v>
      </c>
      <c r="I101" s="45">
        <v>40848</v>
      </c>
      <c r="J101" s="45">
        <v>40787</v>
      </c>
      <c r="K101" s="12" t="s">
        <v>59</v>
      </c>
      <c r="L101" s="12"/>
      <c r="M101" s="12" t="s">
        <v>60</v>
      </c>
      <c r="N101" s="45"/>
      <c r="O101" s="12"/>
      <c r="P101" s="12" t="s">
        <v>1623</v>
      </c>
      <c r="Q101" s="12" t="s">
        <v>60</v>
      </c>
      <c r="R101" s="12"/>
      <c r="S101" s="12"/>
      <c r="T101" s="12"/>
    </row>
    <row r="102" spans="1:20" ht="78" customHeight="1" x14ac:dyDescent="0.25">
      <c r="A102" s="12" t="s">
        <v>1624</v>
      </c>
      <c r="B102" s="12" t="s">
        <v>147</v>
      </c>
      <c r="C102" s="12" t="s">
        <v>148</v>
      </c>
      <c r="D102" s="12" t="s">
        <v>1621</v>
      </c>
      <c r="E102" s="12" t="s">
        <v>21</v>
      </c>
      <c r="F102" s="12" t="s">
        <v>56</v>
      </c>
      <c r="G102" s="12" t="s">
        <v>1625</v>
      </c>
      <c r="H102" s="12" t="s">
        <v>90</v>
      </c>
      <c r="I102" s="45">
        <v>40848</v>
      </c>
      <c r="J102" s="45">
        <v>40787</v>
      </c>
      <c r="K102" s="12" t="s">
        <v>91</v>
      </c>
      <c r="L102" s="12"/>
      <c r="M102" s="12" t="s">
        <v>215</v>
      </c>
      <c r="N102" s="45">
        <v>42309</v>
      </c>
      <c r="O102" s="12" t="s">
        <v>1626</v>
      </c>
      <c r="P102" s="12" t="s">
        <v>1623</v>
      </c>
      <c r="Q102" s="12" t="s">
        <v>60</v>
      </c>
      <c r="R102" s="12"/>
      <c r="S102" s="12"/>
      <c r="T102" s="12"/>
    </row>
    <row r="103" spans="1:20" ht="51.95" customHeight="1" x14ac:dyDescent="0.25">
      <c r="A103" s="12" t="s">
        <v>1627</v>
      </c>
      <c r="B103" s="12" t="s">
        <v>147</v>
      </c>
      <c r="C103" s="12" t="s">
        <v>148</v>
      </c>
      <c r="D103" s="12" t="s">
        <v>83</v>
      </c>
      <c r="E103" s="12" t="s">
        <v>17</v>
      </c>
      <c r="F103" s="12" t="s">
        <v>56</v>
      </c>
      <c r="G103" s="12" t="s">
        <v>1628</v>
      </c>
      <c r="H103" s="12" t="s">
        <v>1381</v>
      </c>
      <c r="I103" s="45">
        <v>42917</v>
      </c>
      <c r="J103" s="45">
        <v>42759</v>
      </c>
      <c r="K103" s="12" t="s">
        <v>59</v>
      </c>
      <c r="L103" s="12" t="s">
        <v>1620</v>
      </c>
      <c r="M103" s="12" t="s">
        <v>60</v>
      </c>
      <c r="N103" s="45"/>
      <c r="O103" s="12"/>
      <c r="P103" s="12" t="s">
        <v>1629</v>
      </c>
      <c r="Q103" s="12" t="s">
        <v>60</v>
      </c>
      <c r="R103" s="12"/>
      <c r="S103" s="12"/>
      <c r="T103" s="12"/>
    </row>
    <row r="104" spans="1:20" ht="51.95" customHeight="1" x14ac:dyDescent="0.25">
      <c r="A104" s="12" t="s">
        <v>1630</v>
      </c>
      <c r="B104" s="12" t="s">
        <v>147</v>
      </c>
      <c r="C104" s="12" t="s">
        <v>148</v>
      </c>
      <c r="D104" s="12" t="s">
        <v>83</v>
      </c>
      <c r="E104" s="12" t="s">
        <v>19</v>
      </c>
      <c r="F104" s="12" t="s">
        <v>56</v>
      </c>
      <c r="G104" s="12" t="s">
        <v>1628</v>
      </c>
      <c r="H104" s="12" t="s">
        <v>1381</v>
      </c>
      <c r="I104" s="45">
        <v>42917</v>
      </c>
      <c r="J104" s="45">
        <v>42759</v>
      </c>
      <c r="K104" s="12" t="s">
        <v>59</v>
      </c>
      <c r="L104" s="12" t="s">
        <v>1631</v>
      </c>
      <c r="M104" s="12" t="s">
        <v>60</v>
      </c>
      <c r="N104" s="45"/>
      <c r="O104" s="12"/>
      <c r="P104" s="12" t="s">
        <v>1629</v>
      </c>
      <c r="Q104" s="12" t="s">
        <v>60</v>
      </c>
      <c r="R104" s="12"/>
      <c r="S104" s="12"/>
      <c r="T104" s="12"/>
    </row>
    <row r="105" spans="1:20" ht="78" customHeight="1" x14ac:dyDescent="0.25">
      <c r="A105" s="12" t="s">
        <v>1631</v>
      </c>
      <c r="B105" s="12" t="s">
        <v>147</v>
      </c>
      <c r="C105" s="12" t="s">
        <v>148</v>
      </c>
      <c r="D105" s="12" t="s">
        <v>1621</v>
      </c>
      <c r="E105" s="12" t="s">
        <v>19</v>
      </c>
      <c r="F105" s="12" t="s">
        <v>56</v>
      </c>
      <c r="G105" s="12" t="s">
        <v>1632</v>
      </c>
      <c r="H105" s="12" t="s">
        <v>90</v>
      </c>
      <c r="I105" s="45">
        <v>40848</v>
      </c>
      <c r="J105" s="45">
        <v>40787</v>
      </c>
      <c r="K105" s="12" t="s">
        <v>59</v>
      </c>
      <c r="L105" s="12"/>
      <c r="M105" s="12" t="s">
        <v>60</v>
      </c>
      <c r="N105" s="45"/>
      <c r="O105" s="12"/>
      <c r="P105" s="12" t="s">
        <v>1623</v>
      </c>
      <c r="Q105" s="12" t="s">
        <v>60</v>
      </c>
      <c r="R105" s="12"/>
      <c r="S105" s="12"/>
      <c r="T105" s="12"/>
    </row>
    <row r="106" spans="1:20" ht="78" customHeight="1" x14ac:dyDescent="0.25">
      <c r="A106" s="12" t="s">
        <v>1633</v>
      </c>
      <c r="B106" s="12" t="s">
        <v>147</v>
      </c>
      <c r="C106" s="12" t="s">
        <v>148</v>
      </c>
      <c r="D106" s="12" t="s">
        <v>224</v>
      </c>
      <c r="E106" s="12" t="s">
        <v>19</v>
      </c>
      <c r="F106" s="12" t="s">
        <v>56</v>
      </c>
      <c r="G106" s="12" t="s">
        <v>1634</v>
      </c>
      <c r="H106" s="12" t="s">
        <v>1381</v>
      </c>
      <c r="I106" s="45">
        <v>44563</v>
      </c>
      <c r="J106" s="45">
        <v>44511</v>
      </c>
      <c r="K106" s="12" t="s">
        <v>59</v>
      </c>
      <c r="L106" s="12"/>
      <c r="M106" s="12" t="s">
        <v>60</v>
      </c>
      <c r="N106" s="45"/>
      <c r="O106" s="12"/>
      <c r="P106" s="12" t="s">
        <v>1635</v>
      </c>
      <c r="Q106" s="12" t="s">
        <v>60</v>
      </c>
      <c r="R106" s="12"/>
      <c r="S106" s="12"/>
      <c r="T106" s="12"/>
    </row>
    <row r="107" spans="1:20" ht="51.95" customHeight="1" x14ac:dyDescent="0.25">
      <c r="A107" s="12" t="s">
        <v>1636</v>
      </c>
      <c r="B107" s="12" t="s">
        <v>147</v>
      </c>
      <c r="C107" s="12" t="s">
        <v>148</v>
      </c>
      <c r="D107" s="12" t="s">
        <v>77</v>
      </c>
      <c r="E107" s="12" t="s">
        <v>21</v>
      </c>
      <c r="F107" s="12" t="s">
        <v>56</v>
      </c>
      <c r="G107" s="12" t="s">
        <v>1637</v>
      </c>
      <c r="H107" s="12" t="s">
        <v>90</v>
      </c>
      <c r="I107" s="45">
        <v>42309</v>
      </c>
      <c r="J107" s="45">
        <v>42152</v>
      </c>
      <c r="K107" s="12" t="s">
        <v>59</v>
      </c>
      <c r="L107" s="12" t="s">
        <v>1624</v>
      </c>
      <c r="M107" s="12" t="s">
        <v>60</v>
      </c>
      <c r="N107" s="45"/>
      <c r="O107" s="12"/>
      <c r="P107" s="12" t="s">
        <v>1638</v>
      </c>
      <c r="Q107" s="12" t="s">
        <v>60</v>
      </c>
      <c r="R107" s="12"/>
      <c r="S107" s="12"/>
      <c r="T107" s="12"/>
    </row>
    <row r="108" spans="1:20" ht="143.1" customHeight="1" x14ac:dyDescent="0.25">
      <c r="A108" s="12" t="s">
        <v>1639</v>
      </c>
      <c r="B108" s="12" t="s">
        <v>147</v>
      </c>
      <c r="C108" s="12" t="s">
        <v>148</v>
      </c>
      <c r="D108" s="12" t="s">
        <v>77</v>
      </c>
      <c r="E108" s="12" t="s">
        <v>17</v>
      </c>
      <c r="F108" s="12" t="s">
        <v>56</v>
      </c>
      <c r="G108" s="12" t="s">
        <v>1640</v>
      </c>
      <c r="H108" s="12" t="s">
        <v>90</v>
      </c>
      <c r="I108" s="45">
        <v>42309</v>
      </c>
      <c r="J108" s="45">
        <v>42152</v>
      </c>
      <c r="K108" s="12" t="s">
        <v>59</v>
      </c>
      <c r="L108" s="12" t="s">
        <v>1620</v>
      </c>
      <c r="M108" s="12" t="s">
        <v>60</v>
      </c>
      <c r="N108" s="45"/>
      <c r="O108" s="12"/>
      <c r="P108" s="12" t="s">
        <v>1638</v>
      </c>
      <c r="Q108" s="12" t="s">
        <v>60</v>
      </c>
      <c r="R108" s="12"/>
      <c r="S108" s="12"/>
      <c r="T108" s="12"/>
    </row>
    <row r="109" spans="1:20" ht="78" customHeight="1" x14ac:dyDescent="0.25">
      <c r="A109" s="12" t="s">
        <v>1641</v>
      </c>
      <c r="B109" s="12" t="s">
        <v>150</v>
      </c>
      <c r="C109" s="12" t="s">
        <v>151</v>
      </c>
      <c r="D109" s="12" t="s">
        <v>232</v>
      </c>
      <c r="E109" s="12" t="s">
        <v>19</v>
      </c>
      <c r="F109" s="12" t="s">
        <v>56</v>
      </c>
      <c r="G109" s="12" t="s">
        <v>1642</v>
      </c>
      <c r="H109" s="12" t="s">
        <v>1381</v>
      </c>
      <c r="I109" s="45">
        <v>44197</v>
      </c>
      <c r="J109" s="45">
        <v>44172</v>
      </c>
      <c r="K109" s="12" t="s">
        <v>59</v>
      </c>
      <c r="L109" s="12"/>
      <c r="M109" s="12" t="s">
        <v>60</v>
      </c>
      <c r="N109" s="45"/>
      <c r="O109" s="12"/>
      <c r="P109" s="12" t="s">
        <v>1643</v>
      </c>
      <c r="Q109" s="12" t="s">
        <v>215</v>
      </c>
      <c r="R109" s="12" t="s">
        <v>1644</v>
      </c>
      <c r="S109" s="12">
        <v>27</v>
      </c>
      <c r="T109" s="12"/>
    </row>
    <row r="110" spans="1:20" ht="90.95" customHeight="1" x14ac:dyDescent="0.25">
      <c r="A110" s="12" t="s">
        <v>1645</v>
      </c>
      <c r="B110" s="12" t="s">
        <v>157</v>
      </c>
      <c r="C110" s="12" t="s">
        <v>1272</v>
      </c>
      <c r="D110" s="12" t="s">
        <v>236</v>
      </c>
      <c r="E110" s="12" t="s">
        <v>21</v>
      </c>
      <c r="F110" s="12" t="s">
        <v>1204</v>
      </c>
      <c r="G110" s="12" t="s">
        <v>1646</v>
      </c>
      <c r="H110" s="12" t="s">
        <v>1647</v>
      </c>
      <c r="I110" s="45">
        <v>43647</v>
      </c>
      <c r="J110" s="45">
        <v>43551</v>
      </c>
      <c r="K110" s="12" t="s">
        <v>59</v>
      </c>
      <c r="L110" s="12"/>
      <c r="M110" s="12" t="s">
        <v>60</v>
      </c>
      <c r="N110" s="45"/>
      <c r="O110" s="12"/>
      <c r="P110" s="12" t="s">
        <v>1648</v>
      </c>
      <c r="Q110" s="12" t="s">
        <v>60</v>
      </c>
      <c r="R110" s="12"/>
      <c r="S110" s="12"/>
      <c r="T110" s="12"/>
    </row>
    <row r="111" spans="1:20" ht="26.1" customHeight="1" x14ac:dyDescent="0.25">
      <c r="A111" s="12" t="s">
        <v>1649</v>
      </c>
      <c r="B111" s="12" t="s">
        <v>157</v>
      </c>
      <c r="C111" s="12" t="s">
        <v>1272</v>
      </c>
      <c r="D111" s="12" t="s">
        <v>236</v>
      </c>
      <c r="E111" s="12" t="s">
        <v>19</v>
      </c>
      <c r="F111" s="12" t="s">
        <v>1204</v>
      </c>
      <c r="G111" s="12" t="s">
        <v>1650</v>
      </c>
      <c r="H111" s="12" t="s">
        <v>1381</v>
      </c>
      <c r="I111" s="45">
        <v>43647</v>
      </c>
      <c r="J111" s="45">
        <v>43551</v>
      </c>
      <c r="K111" s="12" t="s">
        <v>59</v>
      </c>
      <c r="L111" s="12"/>
      <c r="M111" s="12" t="s">
        <v>60</v>
      </c>
      <c r="N111" s="45"/>
      <c r="O111" s="12"/>
      <c r="P111" s="12" t="s">
        <v>1648</v>
      </c>
      <c r="Q111" s="12" t="s">
        <v>60</v>
      </c>
      <c r="R111" s="12"/>
      <c r="S111" s="12"/>
      <c r="T111" s="12"/>
    </row>
    <row r="112" spans="1:20" ht="143.1" customHeight="1" x14ac:dyDescent="0.25">
      <c r="A112" s="12" t="s">
        <v>1651</v>
      </c>
      <c r="B112" s="12" t="s">
        <v>157</v>
      </c>
      <c r="C112" s="12" t="s">
        <v>1272</v>
      </c>
      <c r="D112" s="12" t="s">
        <v>236</v>
      </c>
      <c r="E112" s="12" t="s">
        <v>17</v>
      </c>
      <c r="F112" s="12" t="s">
        <v>1204</v>
      </c>
      <c r="G112" s="12" t="s">
        <v>1652</v>
      </c>
      <c r="H112" s="12" t="s">
        <v>1381</v>
      </c>
      <c r="I112" s="45">
        <v>43647</v>
      </c>
      <c r="J112" s="45">
        <v>43551</v>
      </c>
      <c r="K112" s="12" t="s">
        <v>59</v>
      </c>
      <c r="L112" s="12"/>
      <c r="M112" s="12" t="s">
        <v>60</v>
      </c>
      <c r="N112" s="45"/>
      <c r="O112" s="12"/>
      <c r="P112" s="12" t="s">
        <v>1648</v>
      </c>
      <c r="Q112" s="12" t="s">
        <v>60</v>
      </c>
      <c r="R112" s="12"/>
      <c r="S112" s="12"/>
      <c r="T112" s="12"/>
    </row>
    <row r="113" spans="1:20" ht="65.099999999999994" customHeight="1" x14ac:dyDescent="0.25">
      <c r="A113" s="12" t="s">
        <v>1653</v>
      </c>
      <c r="B113" s="12" t="s">
        <v>163</v>
      </c>
      <c r="C113" s="12" t="s">
        <v>860</v>
      </c>
      <c r="D113" s="12" t="s">
        <v>1561</v>
      </c>
      <c r="E113" s="12" t="s">
        <v>19</v>
      </c>
      <c r="F113" s="12" t="s">
        <v>56</v>
      </c>
      <c r="G113" s="12" t="s">
        <v>1654</v>
      </c>
      <c r="H113" s="12" t="s">
        <v>90</v>
      </c>
      <c r="I113" s="45">
        <v>40909</v>
      </c>
      <c r="J113" s="45"/>
      <c r="K113" s="12" t="s">
        <v>59</v>
      </c>
      <c r="L113" s="12"/>
      <c r="M113" s="12" t="s">
        <v>60</v>
      </c>
      <c r="N113" s="45"/>
      <c r="O113" s="12"/>
      <c r="P113" s="12" t="s">
        <v>1655</v>
      </c>
      <c r="Q113" s="12" t="s">
        <v>60</v>
      </c>
      <c r="R113" s="12"/>
      <c r="S113" s="12"/>
      <c r="T113" s="12"/>
    </row>
    <row r="114" spans="1:20" ht="26.1" customHeight="1" x14ac:dyDescent="0.25">
      <c r="A114" s="12" t="s">
        <v>1656</v>
      </c>
      <c r="B114" s="12" t="s">
        <v>163</v>
      </c>
      <c r="C114" s="12" t="s">
        <v>860</v>
      </c>
      <c r="D114" s="12" t="s">
        <v>88</v>
      </c>
      <c r="E114" s="12" t="s">
        <v>21</v>
      </c>
      <c r="F114" s="12" t="s">
        <v>56</v>
      </c>
      <c r="G114" s="12" t="s">
        <v>1657</v>
      </c>
      <c r="H114" s="12" t="s">
        <v>1381</v>
      </c>
      <c r="I114" s="45">
        <v>41275</v>
      </c>
      <c r="J114" s="45"/>
      <c r="K114" s="12" t="s">
        <v>59</v>
      </c>
      <c r="L114" s="12"/>
      <c r="M114" s="12" t="s">
        <v>60</v>
      </c>
      <c r="N114" s="45"/>
      <c r="O114" s="12"/>
      <c r="P114" s="12" t="s">
        <v>1655</v>
      </c>
      <c r="Q114" s="12" t="s">
        <v>60</v>
      </c>
      <c r="R114" s="12"/>
      <c r="S114" s="12"/>
      <c r="T114" s="12"/>
    </row>
    <row r="115" spans="1:20" ht="246.95" customHeight="1" x14ac:dyDescent="0.25">
      <c r="A115" s="12" t="s">
        <v>1658</v>
      </c>
      <c r="B115" s="12" t="s">
        <v>166</v>
      </c>
      <c r="C115" s="12" t="s">
        <v>167</v>
      </c>
      <c r="D115" s="12" t="s">
        <v>1142</v>
      </c>
      <c r="E115" s="12" t="s">
        <v>19</v>
      </c>
      <c r="F115" s="12" t="s">
        <v>56</v>
      </c>
      <c r="G115" s="12" t="s">
        <v>1659</v>
      </c>
      <c r="H115" s="12" t="s">
        <v>90</v>
      </c>
      <c r="I115" s="45">
        <v>45658</v>
      </c>
      <c r="J115" s="45">
        <v>45630</v>
      </c>
      <c r="K115" s="12" t="s">
        <v>59</v>
      </c>
      <c r="L115" s="12" t="s">
        <v>1660</v>
      </c>
      <c r="M115" s="12" t="s">
        <v>60</v>
      </c>
      <c r="N115" s="45"/>
      <c r="O115" s="12"/>
      <c r="P115" s="12" t="s">
        <v>1661</v>
      </c>
      <c r="Q115" s="12" t="s">
        <v>60</v>
      </c>
      <c r="R115" s="12"/>
      <c r="S115" s="12"/>
      <c r="T115" s="12"/>
    </row>
    <row r="116" spans="1:20" ht="78" customHeight="1" x14ac:dyDescent="0.25">
      <c r="A116" s="12" t="s">
        <v>1662</v>
      </c>
      <c r="B116" s="12" t="s">
        <v>166</v>
      </c>
      <c r="C116" s="12" t="s">
        <v>167</v>
      </c>
      <c r="D116" s="12" t="s">
        <v>1142</v>
      </c>
      <c r="E116" s="12" t="s">
        <v>30</v>
      </c>
      <c r="F116" s="12" t="s">
        <v>56</v>
      </c>
      <c r="G116" s="12" t="s">
        <v>1663</v>
      </c>
      <c r="H116" s="12" t="s">
        <v>90</v>
      </c>
      <c r="I116" s="45">
        <v>45658</v>
      </c>
      <c r="J116" s="45">
        <v>45630</v>
      </c>
      <c r="K116" s="12" t="s">
        <v>59</v>
      </c>
      <c r="L116" s="12" t="s">
        <v>1664</v>
      </c>
      <c r="M116" s="12" t="s">
        <v>60</v>
      </c>
      <c r="N116" s="45"/>
      <c r="O116" s="12"/>
      <c r="P116" s="12" t="s">
        <v>1661</v>
      </c>
      <c r="Q116" s="12" t="s">
        <v>60</v>
      </c>
      <c r="R116" s="12"/>
      <c r="S116" s="12"/>
      <c r="T116" s="12"/>
    </row>
    <row r="117" spans="1:20" ht="143.1" customHeight="1" x14ac:dyDescent="0.25">
      <c r="A117" s="12" t="s">
        <v>1665</v>
      </c>
      <c r="B117" s="12" t="s">
        <v>166</v>
      </c>
      <c r="C117" s="12" t="s">
        <v>167</v>
      </c>
      <c r="D117" s="12" t="s">
        <v>77</v>
      </c>
      <c r="E117" s="12" t="s">
        <v>19</v>
      </c>
      <c r="F117" s="12" t="s">
        <v>56</v>
      </c>
      <c r="G117" s="12" t="s">
        <v>1666</v>
      </c>
      <c r="H117" s="12" t="s">
        <v>90</v>
      </c>
      <c r="I117" s="45">
        <v>42186</v>
      </c>
      <c r="J117" s="45">
        <v>42170</v>
      </c>
      <c r="K117" s="12" t="s">
        <v>91</v>
      </c>
      <c r="L117" s="12" t="s">
        <v>1660</v>
      </c>
      <c r="M117" s="12" t="s">
        <v>215</v>
      </c>
      <c r="N117" s="45">
        <v>42736</v>
      </c>
      <c r="O117" s="12" t="s">
        <v>1667</v>
      </c>
      <c r="P117" s="12" t="s">
        <v>1668</v>
      </c>
      <c r="Q117" s="12" t="s">
        <v>60</v>
      </c>
      <c r="R117" s="12"/>
      <c r="S117" s="12"/>
      <c r="T117" s="12"/>
    </row>
    <row r="118" spans="1:20" ht="51.95" customHeight="1" x14ac:dyDescent="0.25">
      <c r="A118" s="12" t="s">
        <v>1669</v>
      </c>
      <c r="B118" s="12" t="s">
        <v>166</v>
      </c>
      <c r="C118" s="12" t="s">
        <v>167</v>
      </c>
      <c r="D118" s="12" t="s">
        <v>77</v>
      </c>
      <c r="E118" s="12" t="s">
        <v>25</v>
      </c>
      <c r="F118" s="12" t="s">
        <v>56</v>
      </c>
      <c r="G118" s="12" t="s">
        <v>1670</v>
      </c>
      <c r="H118" s="12" t="s">
        <v>90</v>
      </c>
      <c r="I118" s="45">
        <v>42186</v>
      </c>
      <c r="J118" s="45">
        <v>42170</v>
      </c>
      <c r="K118" s="12" t="s">
        <v>91</v>
      </c>
      <c r="L118" s="12" t="s">
        <v>1671</v>
      </c>
      <c r="M118" s="12" t="s">
        <v>215</v>
      </c>
      <c r="N118" s="45">
        <v>42736</v>
      </c>
      <c r="O118" s="12" t="s">
        <v>1667</v>
      </c>
      <c r="P118" s="12" t="s">
        <v>1668</v>
      </c>
      <c r="Q118" s="12" t="s">
        <v>60</v>
      </c>
      <c r="R118" s="12"/>
      <c r="S118" s="12"/>
      <c r="T118" s="12"/>
    </row>
    <row r="119" spans="1:20" ht="156" customHeight="1" x14ac:dyDescent="0.25">
      <c r="A119" s="12" t="s">
        <v>1672</v>
      </c>
      <c r="B119" s="12" t="s">
        <v>166</v>
      </c>
      <c r="C119" s="12" t="s">
        <v>167</v>
      </c>
      <c r="D119" s="12" t="s">
        <v>220</v>
      </c>
      <c r="E119" s="12" t="s">
        <v>1392</v>
      </c>
      <c r="F119" s="12" t="s">
        <v>56</v>
      </c>
      <c r="G119" s="12" t="s">
        <v>1673</v>
      </c>
      <c r="H119" s="12" t="s">
        <v>90</v>
      </c>
      <c r="I119" s="45">
        <v>44927</v>
      </c>
      <c r="J119" s="45">
        <v>44904</v>
      </c>
      <c r="K119" s="12" t="s">
        <v>59</v>
      </c>
      <c r="L119" s="12" t="s">
        <v>1674</v>
      </c>
      <c r="M119" s="12" t="s">
        <v>60</v>
      </c>
      <c r="N119" s="45"/>
      <c r="O119" s="12"/>
      <c r="P119" s="12" t="s">
        <v>1675</v>
      </c>
      <c r="Q119" s="12" t="s">
        <v>60</v>
      </c>
      <c r="R119" s="12"/>
      <c r="S119" s="12"/>
      <c r="T119" s="12"/>
    </row>
    <row r="120" spans="1:20" ht="409.5" customHeight="1" x14ac:dyDescent="0.25">
      <c r="A120" s="12" t="s">
        <v>1676</v>
      </c>
      <c r="B120" s="12" t="s">
        <v>166</v>
      </c>
      <c r="C120" s="12" t="s">
        <v>167</v>
      </c>
      <c r="D120" s="12" t="s">
        <v>220</v>
      </c>
      <c r="E120" s="12" t="s">
        <v>19</v>
      </c>
      <c r="F120" s="12" t="s">
        <v>56</v>
      </c>
      <c r="G120" s="12" t="s">
        <v>1677</v>
      </c>
      <c r="H120" s="12" t="s">
        <v>90</v>
      </c>
      <c r="I120" s="45">
        <v>44927</v>
      </c>
      <c r="J120" s="45">
        <v>44904</v>
      </c>
      <c r="K120" s="12" t="s">
        <v>91</v>
      </c>
      <c r="L120" s="12" t="s">
        <v>1660</v>
      </c>
      <c r="M120" s="12" t="s">
        <v>60</v>
      </c>
      <c r="N120" s="45"/>
      <c r="O120" s="12"/>
      <c r="P120" s="12" t="s">
        <v>1675</v>
      </c>
      <c r="Q120" s="12" t="s">
        <v>60</v>
      </c>
      <c r="R120" s="12"/>
      <c r="S120" s="12"/>
      <c r="T120" s="12"/>
    </row>
    <row r="121" spans="1:20" ht="104.1" customHeight="1" x14ac:dyDescent="0.25">
      <c r="A121" s="12" t="s">
        <v>1678</v>
      </c>
      <c r="B121" s="12" t="s">
        <v>166</v>
      </c>
      <c r="C121" s="12" t="s">
        <v>167</v>
      </c>
      <c r="D121" s="12" t="s">
        <v>220</v>
      </c>
      <c r="E121" s="12" t="s">
        <v>30</v>
      </c>
      <c r="F121" s="12" t="s">
        <v>56</v>
      </c>
      <c r="G121" s="12" t="s">
        <v>1679</v>
      </c>
      <c r="H121" s="12" t="s">
        <v>90</v>
      </c>
      <c r="I121" s="45">
        <v>44927</v>
      </c>
      <c r="J121" s="45">
        <v>44904</v>
      </c>
      <c r="K121" s="12" t="s">
        <v>91</v>
      </c>
      <c r="L121" s="12" t="s">
        <v>1664</v>
      </c>
      <c r="M121" s="12" t="s">
        <v>60</v>
      </c>
      <c r="N121" s="45"/>
      <c r="O121" s="12"/>
      <c r="P121" s="12" t="s">
        <v>1675</v>
      </c>
      <c r="Q121" s="12" t="s">
        <v>215</v>
      </c>
      <c r="R121" s="12"/>
      <c r="S121" s="12"/>
      <c r="T121" s="12"/>
    </row>
    <row r="122" spans="1:20" ht="260.10000000000002" customHeight="1" x14ac:dyDescent="0.25">
      <c r="A122" s="12" t="s">
        <v>1680</v>
      </c>
      <c r="B122" s="12" t="s">
        <v>166</v>
      </c>
      <c r="C122" s="12" t="s">
        <v>167</v>
      </c>
      <c r="D122" s="12" t="s">
        <v>126</v>
      </c>
      <c r="E122" s="12" t="s">
        <v>1437</v>
      </c>
      <c r="F122" s="12" t="s">
        <v>56</v>
      </c>
      <c r="G122" s="12" t="s">
        <v>1681</v>
      </c>
      <c r="H122" s="12" t="s">
        <v>1381</v>
      </c>
      <c r="I122" s="45">
        <v>42736</v>
      </c>
      <c r="J122" s="45">
        <v>42718</v>
      </c>
      <c r="K122" s="12" t="s">
        <v>91</v>
      </c>
      <c r="L122" s="12"/>
      <c r="M122" s="12" t="s">
        <v>215</v>
      </c>
      <c r="N122" s="45">
        <v>43281</v>
      </c>
      <c r="O122" s="12" t="s">
        <v>1682</v>
      </c>
      <c r="P122" s="12" t="s">
        <v>1683</v>
      </c>
      <c r="Q122" s="12" t="s">
        <v>60</v>
      </c>
      <c r="R122" s="12"/>
      <c r="S122" s="12"/>
      <c r="T122" s="12"/>
    </row>
    <row r="123" spans="1:20" ht="168.95" customHeight="1" x14ac:dyDescent="0.25">
      <c r="A123" s="12" t="s">
        <v>1684</v>
      </c>
      <c r="B123" s="12" t="s">
        <v>166</v>
      </c>
      <c r="C123" s="12" t="s">
        <v>167</v>
      </c>
      <c r="D123" s="12" t="s">
        <v>126</v>
      </c>
      <c r="E123" s="12" t="s">
        <v>19</v>
      </c>
      <c r="F123" s="12" t="s">
        <v>56</v>
      </c>
      <c r="G123" s="12" t="s">
        <v>1685</v>
      </c>
      <c r="H123" s="12" t="s">
        <v>90</v>
      </c>
      <c r="I123" s="45">
        <v>42736</v>
      </c>
      <c r="J123" s="45">
        <v>42718</v>
      </c>
      <c r="K123" s="12" t="s">
        <v>91</v>
      </c>
      <c r="L123" s="12" t="s">
        <v>1660</v>
      </c>
      <c r="M123" s="12" t="s">
        <v>215</v>
      </c>
      <c r="N123" s="45">
        <v>43281</v>
      </c>
      <c r="O123" s="12" t="s">
        <v>1686</v>
      </c>
      <c r="P123" s="12" t="s">
        <v>1683</v>
      </c>
      <c r="Q123" s="12" t="s">
        <v>60</v>
      </c>
      <c r="R123" s="12"/>
      <c r="S123" s="12"/>
      <c r="T123" s="12"/>
    </row>
    <row r="124" spans="1:20" ht="65.099999999999994" customHeight="1" x14ac:dyDescent="0.25">
      <c r="A124" s="12" t="s">
        <v>1660</v>
      </c>
      <c r="B124" s="12" t="s">
        <v>166</v>
      </c>
      <c r="C124" s="12" t="s">
        <v>523</v>
      </c>
      <c r="D124" s="12" t="s">
        <v>1490</v>
      </c>
      <c r="E124" s="12" t="s">
        <v>19</v>
      </c>
      <c r="F124" s="12" t="s">
        <v>56</v>
      </c>
      <c r="G124" s="12" t="s">
        <v>1687</v>
      </c>
      <c r="H124" s="12" t="s">
        <v>90</v>
      </c>
      <c r="I124" s="45">
        <v>40240</v>
      </c>
      <c r="J124" s="45">
        <v>40240</v>
      </c>
      <c r="K124" s="12" t="s">
        <v>91</v>
      </c>
      <c r="L124" s="12"/>
      <c r="M124" s="12" t="s">
        <v>215</v>
      </c>
      <c r="N124" s="45">
        <v>42186</v>
      </c>
      <c r="O124" s="12" t="s">
        <v>1688</v>
      </c>
      <c r="P124" s="12" t="s">
        <v>1689</v>
      </c>
      <c r="Q124" s="12" t="s">
        <v>60</v>
      </c>
      <c r="R124" s="12"/>
      <c r="S124" s="12"/>
      <c r="T124" s="12"/>
    </row>
    <row r="125" spans="1:20" ht="182.1" customHeight="1" x14ac:dyDescent="0.25">
      <c r="A125" s="12" t="s">
        <v>1690</v>
      </c>
      <c r="B125" s="12" t="s">
        <v>166</v>
      </c>
      <c r="C125" s="12" t="s">
        <v>167</v>
      </c>
      <c r="D125" s="12" t="s">
        <v>77</v>
      </c>
      <c r="E125" s="12" t="s">
        <v>30</v>
      </c>
      <c r="F125" s="12" t="s">
        <v>56</v>
      </c>
      <c r="G125" s="12" t="s">
        <v>1691</v>
      </c>
      <c r="H125" s="12" t="s">
        <v>90</v>
      </c>
      <c r="I125" s="45">
        <v>42186</v>
      </c>
      <c r="J125" s="45">
        <v>42170</v>
      </c>
      <c r="K125" s="12" t="s">
        <v>91</v>
      </c>
      <c r="L125" s="12" t="s">
        <v>1664</v>
      </c>
      <c r="M125" s="12" t="s">
        <v>215</v>
      </c>
      <c r="N125" s="45">
        <v>42736</v>
      </c>
      <c r="O125" s="12" t="s">
        <v>1667</v>
      </c>
      <c r="P125" s="12" t="s">
        <v>1668</v>
      </c>
      <c r="Q125" s="12" t="s">
        <v>60</v>
      </c>
      <c r="R125" s="12"/>
      <c r="S125" s="12"/>
      <c r="T125" s="12"/>
    </row>
    <row r="126" spans="1:20" ht="39" customHeight="1" x14ac:dyDescent="0.25">
      <c r="A126" s="12" t="s">
        <v>1692</v>
      </c>
      <c r="B126" s="12" t="s">
        <v>166</v>
      </c>
      <c r="C126" s="12" t="s">
        <v>167</v>
      </c>
      <c r="D126" s="12" t="s">
        <v>126</v>
      </c>
      <c r="E126" s="12" t="s">
        <v>30</v>
      </c>
      <c r="F126" s="12" t="s">
        <v>56</v>
      </c>
      <c r="G126" s="12" t="s">
        <v>1693</v>
      </c>
      <c r="H126" s="12" t="s">
        <v>90</v>
      </c>
      <c r="I126" s="45">
        <v>42736</v>
      </c>
      <c r="J126" s="45">
        <v>42718</v>
      </c>
      <c r="K126" s="12" t="s">
        <v>91</v>
      </c>
      <c r="L126" s="12"/>
      <c r="M126" s="12" t="s">
        <v>215</v>
      </c>
      <c r="N126" s="45">
        <v>43282</v>
      </c>
      <c r="O126" s="12"/>
      <c r="P126" s="12" t="s">
        <v>1683</v>
      </c>
      <c r="Q126" s="12" t="s">
        <v>60</v>
      </c>
      <c r="R126" s="12"/>
      <c r="S126" s="12"/>
      <c r="T126" s="12"/>
    </row>
    <row r="127" spans="1:20" ht="143.1" customHeight="1" x14ac:dyDescent="0.25">
      <c r="A127" s="12" t="s">
        <v>1694</v>
      </c>
      <c r="B127" s="12" t="s">
        <v>166</v>
      </c>
      <c r="C127" s="12" t="s">
        <v>167</v>
      </c>
      <c r="D127" s="12" t="s">
        <v>232</v>
      </c>
      <c r="E127" s="12" t="s">
        <v>19</v>
      </c>
      <c r="F127" s="12" t="s">
        <v>56</v>
      </c>
      <c r="G127" s="12" t="s">
        <v>1695</v>
      </c>
      <c r="H127" s="12" t="s">
        <v>1381</v>
      </c>
      <c r="I127" s="45">
        <v>44197</v>
      </c>
      <c r="J127" s="45">
        <v>44175</v>
      </c>
      <c r="K127" s="12" t="s">
        <v>91</v>
      </c>
      <c r="L127" s="12" t="s">
        <v>1696</v>
      </c>
      <c r="M127" s="12" t="s">
        <v>215</v>
      </c>
      <c r="N127" s="45">
        <v>44927</v>
      </c>
      <c r="O127" s="12"/>
      <c r="P127" s="12" t="s">
        <v>1697</v>
      </c>
      <c r="Q127" s="12" t="s">
        <v>60</v>
      </c>
      <c r="R127" s="12"/>
      <c r="S127" s="12"/>
      <c r="T127" s="12"/>
    </row>
    <row r="128" spans="1:20" ht="195" customHeight="1" x14ac:dyDescent="0.25">
      <c r="A128" s="12" t="s">
        <v>1698</v>
      </c>
      <c r="B128" s="12" t="s">
        <v>166</v>
      </c>
      <c r="C128" s="12" t="s">
        <v>167</v>
      </c>
      <c r="D128" s="12" t="s">
        <v>55</v>
      </c>
      <c r="E128" s="12" t="s">
        <v>30</v>
      </c>
      <c r="F128" s="12" t="s">
        <v>56</v>
      </c>
      <c r="G128" s="12" t="s">
        <v>1693</v>
      </c>
      <c r="H128" s="12" t="s">
        <v>1381</v>
      </c>
      <c r="I128" s="45">
        <v>43282</v>
      </c>
      <c r="J128" s="45">
        <v>43270</v>
      </c>
      <c r="K128" s="12" t="s">
        <v>91</v>
      </c>
      <c r="L128" s="12" t="s">
        <v>1692</v>
      </c>
      <c r="M128" s="12" t="s">
        <v>215</v>
      </c>
      <c r="N128" s="45">
        <v>44197</v>
      </c>
      <c r="O128" s="12"/>
      <c r="P128" s="12" t="s">
        <v>1699</v>
      </c>
      <c r="Q128" s="12" t="s">
        <v>60</v>
      </c>
      <c r="R128" s="12"/>
      <c r="S128" s="12"/>
      <c r="T128" s="12"/>
    </row>
    <row r="129" spans="1:20" ht="246.95" customHeight="1" x14ac:dyDescent="0.25">
      <c r="A129" s="12" t="s">
        <v>1696</v>
      </c>
      <c r="B129" s="12" t="s">
        <v>166</v>
      </c>
      <c r="C129" s="12" t="s">
        <v>167</v>
      </c>
      <c r="D129" s="12" t="s">
        <v>55</v>
      </c>
      <c r="E129" s="12" t="s">
        <v>19</v>
      </c>
      <c r="F129" s="12" t="s">
        <v>56</v>
      </c>
      <c r="G129" s="12" t="s">
        <v>1700</v>
      </c>
      <c r="H129" s="12" t="s">
        <v>1381</v>
      </c>
      <c r="I129" s="45">
        <v>43282</v>
      </c>
      <c r="J129" s="45">
        <v>43270</v>
      </c>
      <c r="K129" s="12" t="s">
        <v>91</v>
      </c>
      <c r="L129" s="12"/>
      <c r="M129" s="12" t="s">
        <v>215</v>
      </c>
      <c r="N129" s="45">
        <v>44197</v>
      </c>
      <c r="O129" s="12"/>
      <c r="P129" s="12" t="s">
        <v>1699</v>
      </c>
      <c r="Q129" s="12" t="s">
        <v>60</v>
      </c>
      <c r="R129" s="12"/>
      <c r="S129" s="12"/>
      <c r="T129" s="12"/>
    </row>
    <row r="130" spans="1:20" ht="129.94999999999999" customHeight="1" x14ac:dyDescent="0.25">
      <c r="A130" s="12" t="s">
        <v>1701</v>
      </c>
      <c r="B130" s="12" t="s">
        <v>166</v>
      </c>
      <c r="C130" s="12" t="s">
        <v>167</v>
      </c>
      <c r="D130" s="12" t="s">
        <v>55</v>
      </c>
      <c r="E130" s="12" t="s">
        <v>25</v>
      </c>
      <c r="F130" s="12" t="s">
        <v>56</v>
      </c>
      <c r="G130" s="12" t="s">
        <v>1702</v>
      </c>
      <c r="H130" s="12" t="s">
        <v>1381</v>
      </c>
      <c r="I130" s="45">
        <v>43282</v>
      </c>
      <c r="J130" s="45">
        <v>43270</v>
      </c>
      <c r="K130" s="12" t="s">
        <v>91</v>
      </c>
      <c r="L130" s="12"/>
      <c r="M130" s="12" t="s">
        <v>215</v>
      </c>
      <c r="N130" s="45">
        <v>44197</v>
      </c>
      <c r="O130" s="12"/>
      <c r="P130" s="12" t="s">
        <v>1699</v>
      </c>
      <c r="Q130" s="12" t="s">
        <v>60</v>
      </c>
      <c r="R130" s="12"/>
      <c r="S130" s="12"/>
      <c r="T130" s="12"/>
    </row>
    <row r="131" spans="1:20" ht="51.95" customHeight="1" x14ac:dyDescent="0.25">
      <c r="A131" s="12" t="s">
        <v>1703</v>
      </c>
      <c r="B131" s="12" t="s">
        <v>166</v>
      </c>
      <c r="C131" s="12" t="s">
        <v>167</v>
      </c>
      <c r="D131" s="12" t="s">
        <v>55</v>
      </c>
      <c r="E131" s="12" t="s">
        <v>1437</v>
      </c>
      <c r="F131" s="12" t="s">
        <v>56</v>
      </c>
      <c r="G131" s="12" t="s">
        <v>1681</v>
      </c>
      <c r="H131" s="12" t="s">
        <v>1381</v>
      </c>
      <c r="I131" s="45">
        <v>43282</v>
      </c>
      <c r="J131" s="45">
        <v>43270</v>
      </c>
      <c r="K131" s="12" t="s">
        <v>91</v>
      </c>
      <c r="L131" s="12"/>
      <c r="M131" s="12" t="s">
        <v>215</v>
      </c>
      <c r="N131" s="45">
        <v>44197</v>
      </c>
      <c r="O131" s="12"/>
      <c r="P131" s="12" t="s">
        <v>1699</v>
      </c>
      <c r="Q131" s="12" t="s">
        <v>60</v>
      </c>
      <c r="R131" s="12"/>
      <c r="S131" s="12"/>
      <c r="T131" s="12"/>
    </row>
    <row r="132" spans="1:20" ht="104.1" customHeight="1" x14ac:dyDescent="0.25">
      <c r="A132" s="12" t="s">
        <v>1704</v>
      </c>
      <c r="B132" s="12" t="s">
        <v>166</v>
      </c>
      <c r="C132" s="12" t="s">
        <v>167</v>
      </c>
      <c r="D132" s="12" t="s">
        <v>232</v>
      </c>
      <c r="E132" s="12" t="s">
        <v>1437</v>
      </c>
      <c r="F132" s="12" t="s">
        <v>56</v>
      </c>
      <c r="G132" s="12" t="s">
        <v>1705</v>
      </c>
      <c r="H132" s="12" t="s">
        <v>1381</v>
      </c>
      <c r="I132" s="45">
        <v>44197</v>
      </c>
      <c r="J132" s="45">
        <v>44175</v>
      </c>
      <c r="K132" s="12" t="s">
        <v>59</v>
      </c>
      <c r="L132" s="12" t="s">
        <v>1703</v>
      </c>
      <c r="M132" s="12" t="s">
        <v>60</v>
      </c>
      <c r="N132" s="45"/>
      <c r="O132" s="12"/>
      <c r="P132" s="12" t="s">
        <v>1697</v>
      </c>
      <c r="Q132" s="12" t="s">
        <v>60</v>
      </c>
      <c r="R132" s="12"/>
      <c r="S132" s="12"/>
      <c r="T132" s="12"/>
    </row>
    <row r="133" spans="1:20" ht="90.95" customHeight="1" x14ac:dyDescent="0.25">
      <c r="A133" s="12" t="s">
        <v>1706</v>
      </c>
      <c r="B133" s="12" t="s">
        <v>166</v>
      </c>
      <c r="C133" s="12" t="s">
        <v>167</v>
      </c>
      <c r="D133" s="12" t="s">
        <v>232</v>
      </c>
      <c r="E133" s="12" t="s">
        <v>30</v>
      </c>
      <c r="F133" s="12" t="s">
        <v>56</v>
      </c>
      <c r="G133" s="12" t="s">
        <v>1707</v>
      </c>
      <c r="H133" s="12" t="s">
        <v>1381</v>
      </c>
      <c r="I133" s="45">
        <v>44197</v>
      </c>
      <c r="J133" s="45">
        <v>44175</v>
      </c>
      <c r="K133" s="12" t="s">
        <v>91</v>
      </c>
      <c r="L133" s="12" t="s">
        <v>1692</v>
      </c>
      <c r="M133" s="12" t="s">
        <v>215</v>
      </c>
      <c r="N133" s="45">
        <v>44927</v>
      </c>
      <c r="O133" s="12"/>
      <c r="P133" s="12" t="s">
        <v>1697</v>
      </c>
      <c r="Q133" s="12" t="s">
        <v>60</v>
      </c>
      <c r="R133" s="12"/>
      <c r="S133" s="12"/>
      <c r="T133" s="12"/>
    </row>
    <row r="134" spans="1:20" ht="65.099999999999994" customHeight="1" x14ac:dyDescent="0.25">
      <c r="A134" s="12" t="s">
        <v>1708</v>
      </c>
      <c r="B134" s="12" t="s">
        <v>166</v>
      </c>
      <c r="C134" s="12" t="s">
        <v>167</v>
      </c>
      <c r="D134" s="12" t="s">
        <v>232</v>
      </c>
      <c r="E134" s="12" t="s">
        <v>25</v>
      </c>
      <c r="F134" s="12" t="s">
        <v>56</v>
      </c>
      <c r="G134" s="12" t="s">
        <v>1709</v>
      </c>
      <c r="H134" s="12" t="s">
        <v>1381</v>
      </c>
      <c r="I134" s="45">
        <v>44197</v>
      </c>
      <c r="J134" s="45">
        <v>44175</v>
      </c>
      <c r="K134" s="12" t="s">
        <v>59</v>
      </c>
      <c r="L134" s="12" t="s">
        <v>1701</v>
      </c>
      <c r="M134" s="12" t="s">
        <v>60</v>
      </c>
      <c r="N134" s="45"/>
      <c r="O134" s="12"/>
      <c r="P134" s="12" t="s">
        <v>1697</v>
      </c>
      <c r="Q134" s="12" t="s">
        <v>60</v>
      </c>
      <c r="R134" s="12"/>
      <c r="S134" s="12"/>
      <c r="T134" s="12"/>
    </row>
    <row r="135" spans="1:20" ht="26.1" customHeight="1" x14ac:dyDescent="0.25">
      <c r="A135" s="12" t="s">
        <v>1674</v>
      </c>
      <c r="B135" s="12" t="s">
        <v>166</v>
      </c>
      <c r="C135" s="12" t="s">
        <v>167</v>
      </c>
      <c r="D135" s="12" t="s">
        <v>232</v>
      </c>
      <c r="E135" s="12" t="s">
        <v>1392</v>
      </c>
      <c r="F135" s="12" t="s">
        <v>56</v>
      </c>
      <c r="G135" s="12" t="s">
        <v>1710</v>
      </c>
      <c r="H135" s="12" t="s">
        <v>1381</v>
      </c>
      <c r="I135" s="45">
        <v>43922</v>
      </c>
      <c r="J135" s="45">
        <v>43913</v>
      </c>
      <c r="K135" s="12" t="s">
        <v>91</v>
      </c>
      <c r="L135" s="12"/>
      <c r="M135" s="12" t="s">
        <v>215</v>
      </c>
      <c r="N135" s="45">
        <v>44104</v>
      </c>
      <c r="O135" s="12" t="s">
        <v>1711</v>
      </c>
      <c r="P135" s="12" t="s">
        <v>1712</v>
      </c>
      <c r="Q135" s="12" t="s">
        <v>60</v>
      </c>
      <c r="R135" s="12"/>
      <c r="S135" s="12"/>
      <c r="T135" s="12"/>
    </row>
    <row r="136" spans="1:20" ht="39" customHeight="1" x14ac:dyDescent="0.25">
      <c r="A136" s="12" t="s">
        <v>1671</v>
      </c>
      <c r="B136" s="12" t="s">
        <v>166</v>
      </c>
      <c r="C136" s="12" t="s">
        <v>523</v>
      </c>
      <c r="D136" s="12" t="s">
        <v>1621</v>
      </c>
      <c r="E136" s="12" t="s">
        <v>25</v>
      </c>
      <c r="F136" s="12" t="s">
        <v>56</v>
      </c>
      <c r="G136" s="12" t="s">
        <v>1713</v>
      </c>
      <c r="H136" s="12" t="s">
        <v>90</v>
      </c>
      <c r="I136" s="45">
        <v>40878</v>
      </c>
      <c r="J136" s="45">
        <v>40878</v>
      </c>
      <c r="K136" s="12" t="s">
        <v>91</v>
      </c>
      <c r="L136" s="12"/>
      <c r="M136" s="12" t="s">
        <v>215</v>
      </c>
      <c r="N136" s="45">
        <v>42186</v>
      </c>
      <c r="O136" s="12" t="s">
        <v>1714</v>
      </c>
      <c r="P136" s="12" t="s">
        <v>1715</v>
      </c>
      <c r="Q136" s="12" t="s">
        <v>60</v>
      </c>
      <c r="R136" s="12"/>
      <c r="S136" s="12"/>
      <c r="T136" s="12"/>
    </row>
    <row r="137" spans="1:20" ht="168.95" customHeight="1" x14ac:dyDescent="0.25">
      <c r="A137" s="12" t="s">
        <v>1664</v>
      </c>
      <c r="B137" s="12" t="s">
        <v>166</v>
      </c>
      <c r="C137" s="12" t="s">
        <v>523</v>
      </c>
      <c r="D137" s="12" t="s">
        <v>1621</v>
      </c>
      <c r="E137" s="12" t="s">
        <v>30</v>
      </c>
      <c r="F137" s="12" t="s">
        <v>56</v>
      </c>
      <c r="G137" s="12" t="s">
        <v>1716</v>
      </c>
      <c r="H137" s="12" t="s">
        <v>90</v>
      </c>
      <c r="I137" s="45">
        <v>40878</v>
      </c>
      <c r="J137" s="45">
        <v>40878</v>
      </c>
      <c r="K137" s="12" t="s">
        <v>91</v>
      </c>
      <c r="L137" s="12"/>
      <c r="M137" s="12" t="s">
        <v>215</v>
      </c>
      <c r="N137" s="45">
        <v>42186</v>
      </c>
      <c r="O137" s="12" t="s">
        <v>1714</v>
      </c>
      <c r="P137" s="12" t="s">
        <v>1715</v>
      </c>
      <c r="Q137" s="12" t="s">
        <v>60</v>
      </c>
      <c r="R137" s="12"/>
      <c r="S137" s="12"/>
      <c r="T137" s="12"/>
    </row>
    <row r="138" spans="1:20" ht="117" customHeight="1" x14ac:dyDescent="0.25">
      <c r="A138" s="12" t="s">
        <v>1717</v>
      </c>
      <c r="B138" s="12" t="s">
        <v>166</v>
      </c>
      <c r="C138" s="12" t="s">
        <v>167</v>
      </c>
      <c r="D138" s="12" t="s">
        <v>126</v>
      </c>
      <c r="E138" s="12" t="s">
        <v>25</v>
      </c>
      <c r="F138" s="12" t="s">
        <v>56</v>
      </c>
      <c r="G138" s="12" t="s">
        <v>1718</v>
      </c>
      <c r="H138" s="12" t="s">
        <v>90</v>
      </c>
      <c r="I138" s="45">
        <v>42736</v>
      </c>
      <c r="J138" s="45">
        <v>42718</v>
      </c>
      <c r="K138" s="12" t="s">
        <v>91</v>
      </c>
      <c r="L138" s="12"/>
      <c r="M138" s="12" t="s">
        <v>215</v>
      </c>
      <c r="N138" s="45">
        <v>43282</v>
      </c>
      <c r="O138" s="12"/>
      <c r="P138" s="12" t="s">
        <v>1683</v>
      </c>
      <c r="Q138" s="12" t="s">
        <v>60</v>
      </c>
      <c r="R138" s="12"/>
      <c r="S138" s="12"/>
      <c r="T138" s="12"/>
    </row>
    <row r="139" spans="1:20" ht="117" customHeight="1" x14ac:dyDescent="0.25">
      <c r="A139" s="12" t="s">
        <v>1719</v>
      </c>
      <c r="B139" s="12" t="s">
        <v>166</v>
      </c>
      <c r="C139" s="12" t="s">
        <v>167</v>
      </c>
      <c r="D139" s="12" t="s">
        <v>232</v>
      </c>
      <c r="E139" s="12" t="s">
        <v>1392</v>
      </c>
      <c r="F139" s="12" t="s">
        <v>56</v>
      </c>
      <c r="G139" s="12" t="s">
        <v>1720</v>
      </c>
      <c r="H139" s="12" t="s">
        <v>1381</v>
      </c>
      <c r="I139" s="45">
        <v>44197</v>
      </c>
      <c r="J139" s="45">
        <v>44175</v>
      </c>
      <c r="K139" s="12" t="s">
        <v>91</v>
      </c>
      <c r="L139" s="12" t="s">
        <v>1674</v>
      </c>
      <c r="M139" s="12" t="s">
        <v>215</v>
      </c>
      <c r="N139" s="45">
        <v>44927</v>
      </c>
      <c r="O139" s="12"/>
      <c r="P139" s="12" t="s">
        <v>1697</v>
      </c>
      <c r="Q139" s="12" t="s">
        <v>60</v>
      </c>
      <c r="R139" s="12"/>
      <c r="S139" s="12"/>
      <c r="T139" s="12"/>
    </row>
    <row r="140" spans="1:20" ht="78" customHeight="1" x14ac:dyDescent="0.25">
      <c r="A140" s="12" t="s">
        <v>1721</v>
      </c>
      <c r="B140" s="12" t="s">
        <v>169</v>
      </c>
      <c r="C140" s="12" t="s">
        <v>923</v>
      </c>
      <c r="D140" s="12" t="s">
        <v>88</v>
      </c>
      <c r="E140" s="12" t="s">
        <v>19</v>
      </c>
      <c r="F140" s="12" t="s">
        <v>56</v>
      </c>
      <c r="G140" s="12" t="s">
        <v>1722</v>
      </c>
      <c r="H140" s="12" t="s">
        <v>90</v>
      </c>
      <c r="I140" s="45">
        <v>41640</v>
      </c>
      <c r="J140" s="45"/>
      <c r="K140" s="12" t="s">
        <v>59</v>
      </c>
      <c r="L140" s="12"/>
      <c r="M140" s="12" t="s">
        <v>60</v>
      </c>
      <c r="N140" s="45"/>
      <c r="O140" s="12"/>
      <c r="P140" s="12" t="s">
        <v>1723</v>
      </c>
      <c r="Q140" s="12" t="s">
        <v>60</v>
      </c>
      <c r="R140" s="12"/>
      <c r="S140" s="12"/>
      <c r="T140" s="12"/>
    </row>
    <row r="141" spans="1:20" ht="195" customHeight="1" x14ac:dyDescent="0.25">
      <c r="A141" s="12" t="s">
        <v>1724</v>
      </c>
      <c r="B141" s="12" t="s">
        <v>169</v>
      </c>
      <c r="C141" s="12" t="s">
        <v>923</v>
      </c>
      <c r="D141" s="12" t="s">
        <v>88</v>
      </c>
      <c r="E141" s="12" t="s">
        <v>21</v>
      </c>
      <c r="F141" s="12" t="s">
        <v>56</v>
      </c>
      <c r="G141" s="12" t="s">
        <v>1725</v>
      </c>
      <c r="H141" s="12" t="s">
        <v>90</v>
      </c>
      <c r="I141" s="45">
        <v>41821</v>
      </c>
      <c r="J141" s="45"/>
      <c r="K141" s="12" t="s">
        <v>59</v>
      </c>
      <c r="L141" s="12"/>
      <c r="M141" s="12" t="s">
        <v>60</v>
      </c>
      <c r="N141" s="45"/>
      <c r="O141" s="12"/>
      <c r="P141" s="12" t="s">
        <v>1726</v>
      </c>
      <c r="Q141" s="12" t="s">
        <v>60</v>
      </c>
      <c r="R141" s="12"/>
      <c r="S141" s="12"/>
      <c r="T141" s="12"/>
    </row>
    <row r="142" spans="1:20" ht="143.1" customHeight="1" x14ac:dyDescent="0.25">
      <c r="A142" s="12" t="s">
        <v>1727</v>
      </c>
      <c r="B142" s="12" t="s">
        <v>169</v>
      </c>
      <c r="C142" s="12" t="s">
        <v>923</v>
      </c>
      <c r="D142" s="12" t="s">
        <v>88</v>
      </c>
      <c r="E142" s="12" t="s">
        <v>17</v>
      </c>
      <c r="F142" s="12" t="s">
        <v>56</v>
      </c>
      <c r="G142" s="12" t="s">
        <v>1728</v>
      </c>
      <c r="H142" s="12" t="s">
        <v>90</v>
      </c>
      <c r="I142" s="45">
        <v>41640</v>
      </c>
      <c r="J142" s="45"/>
      <c r="K142" s="12" t="s">
        <v>59</v>
      </c>
      <c r="L142" s="12" t="s">
        <v>1729</v>
      </c>
      <c r="M142" s="12" t="s">
        <v>60</v>
      </c>
      <c r="N142" s="45"/>
      <c r="O142" s="12"/>
      <c r="P142" s="12" t="s">
        <v>1726</v>
      </c>
      <c r="Q142" s="12" t="s">
        <v>60</v>
      </c>
      <c r="R142" s="12"/>
      <c r="S142" s="12"/>
      <c r="T142" s="12"/>
    </row>
    <row r="143" spans="1:20" ht="195" customHeight="1" x14ac:dyDescent="0.25">
      <c r="A143" s="12" t="s">
        <v>1729</v>
      </c>
      <c r="B143" s="12" t="s">
        <v>169</v>
      </c>
      <c r="C143" s="12" t="s">
        <v>923</v>
      </c>
      <c r="D143" s="12" t="s">
        <v>88</v>
      </c>
      <c r="E143" s="12" t="s">
        <v>17</v>
      </c>
      <c r="F143" s="12" t="s">
        <v>56</v>
      </c>
      <c r="G143" s="12" t="s">
        <v>1730</v>
      </c>
      <c r="H143" s="12" t="s">
        <v>90</v>
      </c>
      <c r="I143" s="45">
        <v>41456</v>
      </c>
      <c r="J143" s="45"/>
      <c r="K143" s="12" t="s">
        <v>59</v>
      </c>
      <c r="L143" s="12"/>
      <c r="M143" s="12" t="s">
        <v>60</v>
      </c>
      <c r="N143" s="45"/>
      <c r="O143" s="12"/>
      <c r="P143" s="12" t="s">
        <v>1731</v>
      </c>
      <c r="Q143" s="12" t="s">
        <v>60</v>
      </c>
      <c r="R143" s="12"/>
      <c r="S143" s="12"/>
      <c r="T143" s="12"/>
    </row>
    <row r="144" spans="1:20" ht="143.1" customHeight="1" x14ac:dyDescent="0.25">
      <c r="A144" s="12" t="s">
        <v>1732</v>
      </c>
      <c r="B144" s="12" t="s">
        <v>176</v>
      </c>
      <c r="C144" s="12" t="s">
        <v>177</v>
      </c>
      <c r="D144" s="12" t="s">
        <v>55</v>
      </c>
      <c r="E144" s="12" t="s">
        <v>21</v>
      </c>
      <c r="F144" s="12" t="s">
        <v>56</v>
      </c>
      <c r="G144" s="12" t="s">
        <v>1733</v>
      </c>
      <c r="H144" s="12" t="s">
        <v>90</v>
      </c>
      <c r="I144" s="45">
        <v>43282</v>
      </c>
      <c r="J144" s="45">
        <v>43130</v>
      </c>
      <c r="K144" s="12" t="s">
        <v>91</v>
      </c>
      <c r="L144" s="12"/>
      <c r="M144" s="12" t="s">
        <v>60</v>
      </c>
      <c r="N144" s="45"/>
      <c r="O144" s="12"/>
      <c r="P144" s="12" t="s">
        <v>1734</v>
      </c>
      <c r="Q144" s="12" t="s">
        <v>60</v>
      </c>
      <c r="R144" s="12"/>
      <c r="S144" s="12"/>
      <c r="T144" s="12"/>
    </row>
    <row r="145" spans="1:20" ht="104.1" customHeight="1" x14ac:dyDescent="0.25">
      <c r="A145" s="12" t="s">
        <v>1735</v>
      </c>
      <c r="B145" s="12" t="s">
        <v>176</v>
      </c>
      <c r="C145" s="12" t="s">
        <v>177</v>
      </c>
      <c r="D145" s="12" t="s">
        <v>232</v>
      </c>
      <c r="E145" s="12" t="s">
        <v>17</v>
      </c>
      <c r="F145" s="12" t="s">
        <v>56</v>
      </c>
      <c r="G145" s="12" t="s">
        <v>1736</v>
      </c>
      <c r="H145" s="12" t="s">
        <v>1381</v>
      </c>
      <c r="I145" s="45">
        <v>43922</v>
      </c>
      <c r="J145" s="45">
        <v>43859</v>
      </c>
      <c r="K145" s="12" t="s">
        <v>59</v>
      </c>
      <c r="L145" s="12" t="s">
        <v>1737</v>
      </c>
      <c r="M145" s="12" t="s">
        <v>60</v>
      </c>
      <c r="N145" s="45"/>
      <c r="O145" s="12"/>
      <c r="P145" s="12" t="s">
        <v>1738</v>
      </c>
      <c r="Q145" s="12" t="s">
        <v>60</v>
      </c>
      <c r="R145" s="12"/>
      <c r="S145" s="12"/>
      <c r="T145" s="12"/>
    </row>
    <row r="146" spans="1:20" ht="51.95" customHeight="1" x14ac:dyDescent="0.25">
      <c r="A146" s="12" t="s">
        <v>1739</v>
      </c>
      <c r="B146" s="12" t="s">
        <v>176</v>
      </c>
      <c r="C146" s="12" t="s">
        <v>177</v>
      </c>
      <c r="D146" s="12" t="s">
        <v>232</v>
      </c>
      <c r="E146" s="12" t="s">
        <v>21</v>
      </c>
      <c r="F146" s="12" t="s">
        <v>56</v>
      </c>
      <c r="G146" s="12" t="s">
        <v>1740</v>
      </c>
      <c r="H146" s="12" t="s">
        <v>1381</v>
      </c>
      <c r="I146" s="45">
        <v>43922</v>
      </c>
      <c r="J146" s="45">
        <v>43859</v>
      </c>
      <c r="K146" s="12" t="s">
        <v>59</v>
      </c>
      <c r="L146" s="12" t="s">
        <v>1732</v>
      </c>
      <c r="M146" s="12" t="s">
        <v>60</v>
      </c>
      <c r="N146" s="45"/>
      <c r="O146" s="12"/>
      <c r="P146" s="12" t="s">
        <v>1738</v>
      </c>
      <c r="Q146" s="12" t="s">
        <v>60</v>
      </c>
      <c r="R146" s="12"/>
      <c r="S146" s="12"/>
      <c r="T146" s="12"/>
    </row>
    <row r="147" spans="1:20" ht="51.95" customHeight="1" x14ac:dyDescent="0.25">
      <c r="A147" s="12" t="s">
        <v>1737</v>
      </c>
      <c r="B147" s="12" t="s">
        <v>176</v>
      </c>
      <c r="C147" s="12" t="s">
        <v>177</v>
      </c>
      <c r="D147" s="12" t="s">
        <v>55</v>
      </c>
      <c r="E147" s="12" t="s">
        <v>17</v>
      </c>
      <c r="F147" s="12" t="s">
        <v>56</v>
      </c>
      <c r="G147" s="12" t="s">
        <v>1741</v>
      </c>
      <c r="H147" s="12" t="s">
        <v>90</v>
      </c>
      <c r="I147" s="45">
        <v>43282</v>
      </c>
      <c r="J147" s="45">
        <v>43130</v>
      </c>
      <c r="K147" s="12" t="s">
        <v>91</v>
      </c>
      <c r="L147" s="12"/>
      <c r="M147" s="12" t="s">
        <v>60</v>
      </c>
      <c r="N147" s="45"/>
      <c r="O147" s="12"/>
      <c r="P147" s="12" t="s">
        <v>1734</v>
      </c>
      <c r="Q147" s="12" t="s">
        <v>60</v>
      </c>
      <c r="R147" s="12"/>
      <c r="S147" s="12"/>
      <c r="T147" s="12"/>
    </row>
    <row r="148" spans="1:20" ht="65.099999999999994" customHeight="1" x14ac:dyDescent="0.25">
      <c r="A148" s="12" t="s">
        <v>1742</v>
      </c>
      <c r="B148" s="12" t="s">
        <v>176</v>
      </c>
      <c r="C148" s="12" t="s">
        <v>177</v>
      </c>
      <c r="D148" s="12" t="s">
        <v>224</v>
      </c>
      <c r="E148" s="12" t="s">
        <v>21</v>
      </c>
      <c r="F148" s="12" t="s">
        <v>56</v>
      </c>
      <c r="G148" s="12" t="s">
        <v>1743</v>
      </c>
      <c r="H148" s="12"/>
      <c r="I148" s="45">
        <v>44593</v>
      </c>
      <c r="J148" s="45">
        <v>44586</v>
      </c>
      <c r="K148" s="12" t="s">
        <v>59</v>
      </c>
      <c r="L148" s="12"/>
      <c r="M148" s="12" t="s">
        <v>60</v>
      </c>
      <c r="N148" s="45"/>
      <c r="O148" s="12"/>
      <c r="P148" s="12" t="s">
        <v>1734</v>
      </c>
      <c r="Q148" s="12" t="s">
        <v>60</v>
      </c>
      <c r="R148" s="12"/>
      <c r="S148" s="12"/>
      <c r="T148" s="12"/>
    </row>
    <row r="149" spans="1:20" ht="104.1" customHeight="1" x14ac:dyDescent="0.25">
      <c r="A149" s="12" t="s">
        <v>1744</v>
      </c>
      <c r="B149" s="12" t="s">
        <v>176</v>
      </c>
      <c r="C149" s="12" t="s">
        <v>177</v>
      </c>
      <c r="D149" s="12" t="s">
        <v>220</v>
      </c>
      <c r="E149" s="12" t="s">
        <v>21</v>
      </c>
      <c r="F149" s="12" t="s">
        <v>56</v>
      </c>
      <c r="G149" s="12" t="s">
        <v>1745</v>
      </c>
      <c r="H149" s="12" t="s">
        <v>1381</v>
      </c>
      <c r="I149" s="45">
        <v>45215</v>
      </c>
      <c r="J149" s="45">
        <v>45139</v>
      </c>
      <c r="K149" s="12" t="s">
        <v>59</v>
      </c>
      <c r="L149" s="12"/>
      <c r="M149" s="12" t="s">
        <v>60</v>
      </c>
      <c r="N149" s="45"/>
      <c r="O149" s="12"/>
      <c r="P149" s="12"/>
      <c r="Q149" s="12" t="s">
        <v>60</v>
      </c>
      <c r="R149" s="12"/>
      <c r="S149" s="12"/>
      <c r="T149" s="12"/>
    </row>
    <row r="150" spans="1:20" ht="182.1" customHeight="1" x14ac:dyDescent="0.25">
      <c r="A150" s="12" t="s">
        <v>1746</v>
      </c>
      <c r="B150" s="12" t="s">
        <v>176</v>
      </c>
      <c r="C150" s="12" t="s">
        <v>177</v>
      </c>
      <c r="D150" s="12" t="s">
        <v>220</v>
      </c>
      <c r="E150" s="12" t="s">
        <v>30</v>
      </c>
      <c r="F150" s="12" t="s">
        <v>56</v>
      </c>
      <c r="G150" s="12" t="s">
        <v>1747</v>
      </c>
      <c r="H150" s="12" t="s">
        <v>1381</v>
      </c>
      <c r="I150" s="45">
        <v>45215</v>
      </c>
      <c r="J150" s="45">
        <v>45202</v>
      </c>
      <c r="K150" s="12" t="s">
        <v>59</v>
      </c>
      <c r="L150" s="12"/>
      <c r="M150" s="12" t="s">
        <v>60</v>
      </c>
      <c r="N150" s="45"/>
      <c r="O150" s="12"/>
      <c r="P150" s="12"/>
      <c r="Q150" s="12" t="s">
        <v>60</v>
      </c>
      <c r="R150" s="12"/>
      <c r="S150" s="12"/>
      <c r="T150" s="12"/>
    </row>
    <row r="151" spans="1:20" ht="143.1" customHeight="1" x14ac:dyDescent="0.25">
      <c r="A151" s="12" t="s">
        <v>1748</v>
      </c>
      <c r="B151" s="12" t="s">
        <v>176</v>
      </c>
      <c r="C151" s="12" t="s">
        <v>177</v>
      </c>
      <c r="D151" s="12" t="s">
        <v>55</v>
      </c>
      <c r="E151" s="12" t="s">
        <v>19</v>
      </c>
      <c r="F151" s="12" t="s">
        <v>56</v>
      </c>
      <c r="G151" s="12" t="s">
        <v>1749</v>
      </c>
      <c r="H151" s="12" t="s">
        <v>90</v>
      </c>
      <c r="I151" s="45">
        <v>43282</v>
      </c>
      <c r="J151" s="45">
        <v>43130</v>
      </c>
      <c r="K151" s="12" t="s">
        <v>59</v>
      </c>
      <c r="L151" s="12"/>
      <c r="M151" s="12" t="s">
        <v>60</v>
      </c>
      <c r="N151" s="45"/>
      <c r="O151" s="12"/>
      <c r="P151" s="12" t="s">
        <v>1734</v>
      </c>
      <c r="Q151" s="12" t="s">
        <v>60</v>
      </c>
      <c r="R151" s="12"/>
      <c r="S151" s="12"/>
      <c r="T151" s="12"/>
    </row>
    <row r="152" spans="1:20" ht="143.1" customHeight="1" x14ac:dyDescent="0.25">
      <c r="A152" s="12" t="s">
        <v>1750</v>
      </c>
      <c r="B152" s="12" t="s">
        <v>182</v>
      </c>
      <c r="C152" s="12" t="s">
        <v>183</v>
      </c>
      <c r="D152" s="12" t="s">
        <v>55</v>
      </c>
      <c r="E152" s="12" t="s">
        <v>17</v>
      </c>
      <c r="F152" s="12" t="s">
        <v>56</v>
      </c>
      <c r="G152" s="12" t="s">
        <v>1751</v>
      </c>
      <c r="H152" s="12" t="s">
        <v>1381</v>
      </c>
      <c r="I152" s="45">
        <v>43466</v>
      </c>
      <c r="J152" s="45">
        <v>43390</v>
      </c>
      <c r="K152" s="12" t="s">
        <v>59</v>
      </c>
      <c r="L152" s="12"/>
      <c r="M152" s="12" t="s">
        <v>60</v>
      </c>
      <c r="N152" s="45"/>
      <c r="O152" s="12"/>
      <c r="P152" s="12" t="s">
        <v>1752</v>
      </c>
      <c r="Q152" s="12" t="s">
        <v>60</v>
      </c>
      <c r="R152" s="12"/>
      <c r="S152" s="12"/>
      <c r="T152" s="12"/>
    </row>
    <row r="153" spans="1:20" ht="409.5" customHeight="1" x14ac:dyDescent="0.25">
      <c r="A153" s="12" t="s">
        <v>1753</v>
      </c>
      <c r="B153" s="12" t="s">
        <v>182</v>
      </c>
      <c r="C153" s="12" t="s">
        <v>183</v>
      </c>
      <c r="D153" s="12" t="s">
        <v>1561</v>
      </c>
      <c r="E153" s="12" t="s">
        <v>17</v>
      </c>
      <c r="F153" s="12" t="s">
        <v>56</v>
      </c>
      <c r="G153" s="12" t="s">
        <v>1754</v>
      </c>
      <c r="H153" s="12" t="s">
        <v>1381</v>
      </c>
      <c r="I153" s="45">
        <v>41261</v>
      </c>
      <c r="J153" s="45"/>
      <c r="K153" s="12" t="s">
        <v>91</v>
      </c>
      <c r="L153" s="12" t="s">
        <v>1755</v>
      </c>
      <c r="M153" s="12" t="s">
        <v>60</v>
      </c>
      <c r="N153" s="45"/>
      <c r="O153" s="12"/>
      <c r="P153" s="12"/>
      <c r="Q153" s="12" t="s">
        <v>60</v>
      </c>
      <c r="R153" s="12"/>
      <c r="S153" s="12"/>
      <c r="T153" s="12"/>
    </row>
    <row r="154" spans="1:20" ht="168.95" customHeight="1" x14ac:dyDescent="0.25">
      <c r="A154" s="12" t="s">
        <v>1755</v>
      </c>
      <c r="B154" s="12" t="s">
        <v>182</v>
      </c>
      <c r="C154" s="12" t="s">
        <v>183</v>
      </c>
      <c r="D154" s="12" t="s">
        <v>1621</v>
      </c>
      <c r="E154" s="12" t="s">
        <v>17</v>
      </c>
      <c r="F154" s="12" t="s">
        <v>56</v>
      </c>
      <c r="G154" s="12" t="s">
        <v>1756</v>
      </c>
      <c r="H154" s="12" t="s">
        <v>90</v>
      </c>
      <c r="I154" s="45">
        <v>40847</v>
      </c>
      <c r="J154" s="45"/>
      <c r="K154" s="12" t="s">
        <v>91</v>
      </c>
      <c r="L154" s="12"/>
      <c r="M154" s="12" t="s">
        <v>60</v>
      </c>
      <c r="N154" s="45"/>
      <c r="O154" s="12"/>
      <c r="P154" s="12"/>
      <c r="Q154" s="12" t="s">
        <v>60</v>
      </c>
      <c r="R154" s="12"/>
      <c r="S154" s="12"/>
      <c r="T154" s="12"/>
    </row>
    <row r="155" spans="1:20" ht="90.95" customHeight="1" x14ac:dyDescent="0.25">
      <c r="A155" s="12" t="s">
        <v>1757</v>
      </c>
      <c r="B155" s="12" t="s">
        <v>182</v>
      </c>
      <c r="C155" s="12" t="s">
        <v>183</v>
      </c>
      <c r="D155" s="12" t="s">
        <v>1621</v>
      </c>
      <c r="E155" s="12" t="s">
        <v>19</v>
      </c>
      <c r="F155" s="12" t="s">
        <v>56</v>
      </c>
      <c r="G155" s="12" t="s">
        <v>1758</v>
      </c>
      <c r="H155" s="12" t="s">
        <v>90</v>
      </c>
      <c r="I155" s="45">
        <v>40847</v>
      </c>
      <c r="J155" s="45"/>
      <c r="K155" s="12" t="s">
        <v>59</v>
      </c>
      <c r="L155" s="12"/>
      <c r="M155" s="12" t="s">
        <v>60</v>
      </c>
      <c r="N155" s="45"/>
      <c r="O155" s="12"/>
      <c r="P155" s="12" t="s">
        <v>1759</v>
      </c>
      <c r="Q155" s="12" t="s">
        <v>60</v>
      </c>
      <c r="R155" s="12"/>
      <c r="S155" s="12"/>
      <c r="T155" s="12"/>
    </row>
    <row r="156" spans="1:20" ht="207.95" customHeight="1" x14ac:dyDescent="0.25">
      <c r="A156" s="12" t="s">
        <v>1760</v>
      </c>
      <c r="B156" s="12" t="s">
        <v>182</v>
      </c>
      <c r="C156" s="12" t="s">
        <v>183</v>
      </c>
      <c r="D156" s="12" t="s">
        <v>1621</v>
      </c>
      <c r="E156" s="12" t="s">
        <v>21</v>
      </c>
      <c r="F156" s="12" t="s">
        <v>56</v>
      </c>
      <c r="G156" s="12" t="s">
        <v>1761</v>
      </c>
      <c r="H156" s="12" t="s">
        <v>90</v>
      </c>
      <c r="I156" s="45">
        <v>40847</v>
      </c>
      <c r="J156" s="45"/>
      <c r="K156" s="12" t="s">
        <v>59</v>
      </c>
      <c r="L156" s="12"/>
      <c r="M156" s="12" t="s">
        <v>60</v>
      </c>
      <c r="N156" s="45"/>
      <c r="O156" s="12"/>
      <c r="P156" s="12"/>
      <c r="Q156" s="12" t="s">
        <v>60</v>
      </c>
      <c r="R156" s="12"/>
      <c r="S156" s="12"/>
      <c r="T156" s="12"/>
    </row>
    <row r="157" spans="1:20" ht="26.1" customHeight="1" x14ac:dyDescent="0.25">
      <c r="A157" s="12" t="s">
        <v>1762</v>
      </c>
      <c r="B157" s="12" t="s">
        <v>182</v>
      </c>
      <c r="C157" s="12" t="s">
        <v>183</v>
      </c>
      <c r="D157" s="12" t="s">
        <v>224</v>
      </c>
      <c r="E157" s="12" t="s">
        <v>19</v>
      </c>
      <c r="F157" s="12" t="s">
        <v>56</v>
      </c>
      <c r="G157" s="12" t="s">
        <v>1763</v>
      </c>
      <c r="H157" s="12" t="s">
        <v>90</v>
      </c>
      <c r="I157" s="45">
        <v>44652</v>
      </c>
      <c r="J157" s="45">
        <v>44594</v>
      </c>
      <c r="K157" s="12" t="s">
        <v>59</v>
      </c>
      <c r="L157" s="12"/>
      <c r="M157" s="12" t="s">
        <v>60</v>
      </c>
      <c r="N157" s="45"/>
      <c r="O157" s="12"/>
      <c r="P157" s="12"/>
      <c r="Q157" s="12" t="s">
        <v>60</v>
      </c>
      <c r="R157" s="12"/>
      <c r="S157" s="12"/>
      <c r="T157" s="12"/>
    </row>
    <row r="158" spans="1:20" ht="260.10000000000002" customHeight="1" x14ac:dyDescent="0.25">
      <c r="A158" s="12" t="s">
        <v>1764</v>
      </c>
      <c r="B158" s="12" t="s">
        <v>186</v>
      </c>
      <c r="C158" s="12" t="s">
        <v>187</v>
      </c>
      <c r="D158" s="12" t="s">
        <v>224</v>
      </c>
      <c r="E158" s="12" t="s">
        <v>1437</v>
      </c>
      <c r="F158" s="12" t="s">
        <v>56</v>
      </c>
      <c r="G158" s="12" t="s">
        <v>1765</v>
      </c>
      <c r="H158" s="12" t="s">
        <v>1381</v>
      </c>
      <c r="I158" s="45">
        <v>44927</v>
      </c>
      <c r="J158" s="45">
        <v>44796</v>
      </c>
      <c r="K158" s="12" t="s">
        <v>59</v>
      </c>
      <c r="L158" s="12"/>
      <c r="M158" s="12" t="s">
        <v>60</v>
      </c>
      <c r="N158" s="45"/>
      <c r="O158" s="12"/>
      <c r="P158" s="12"/>
      <c r="Q158" s="12" t="s">
        <v>60</v>
      </c>
      <c r="R158" s="12"/>
      <c r="S158" s="12"/>
      <c r="T158" s="12"/>
    </row>
    <row r="159" spans="1:20" ht="168.95" customHeight="1" x14ac:dyDescent="0.25">
      <c r="A159" s="12" t="s">
        <v>1766</v>
      </c>
      <c r="B159" s="12" t="s">
        <v>186</v>
      </c>
      <c r="C159" s="12" t="s">
        <v>187</v>
      </c>
      <c r="D159" s="12" t="s">
        <v>67</v>
      </c>
      <c r="E159" s="12" t="s">
        <v>30</v>
      </c>
      <c r="F159" s="12" t="s">
        <v>56</v>
      </c>
      <c r="G159" s="12" t="s">
        <v>1767</v>
      </c>
      <c r="H159" s="12" t="s">
        <v>1768</v>
      </c>
      <c r="I159" s="45">
        <v>42369</v>
      </c>
      <c r="J159" s="45"/>
      <c r="K159" s="12" t="s">
        <v>91</v>
      </c>
      <c r="L159" s="12"/>
      <c r="M159" s="12" t="s">
        <v>215</v>
      </c>
      <c r="N159" s="45">
        <v>42736</v>
      </c>
      <c r="O159" s="12"/>
      <c r="P159" s="12"/>
      <c r="Q159" s="12" t="s">
        <v>60</v>
      </c>
      <c r="R159" s="12"/>
      <c r="S159" s="12"/>
      <c r="T159" s="12"/>
    </row>
    <row r="160" spans="1:20" ht="104.1" customHeight="1" x14ac:dyDescent="0.25">
      <c r="A160" s="12" t="s">
        <v>1769</v>
      </c>
      <c r="B160" s="12" t="s">
        <v>186</v>
      </c>
      <c r="C160" s="12" t="s">
        <v>187</v>
      </c>
      <c r="D160" s="12" t="s">
        <v>224</v>
      </c>
      <c r="E160" s="12" t="s">
        <v>21</v>
      </c>
      <c r="F160" s="12" t="s">
        <v>1770</v>
      </c>
      <c r="G160" s="12" t="s">
        <v>1771</v>
      </c>
      <c r="H160" s="12" t="s">
        <v>1381</v>
      </c>
      <c r="I160" s="45">
        <v>44835</v>
      </c>
      <c r="J160" s="45">
        <v>44796</v>
      </c>
      <c r="K160" s="12" t="s">
        <v>59</v>
      </c>
      <c r="L160" s="12"/>
      <c r="M160" s="12" t="s">
        <v>60</v>
      </c>
      <c r="N160" s="45"/>
      <c r="O160" s="12"/>
      <c r="P160" s="12"/>
      <c r="Q160" s="12" t="s">
        <v>60</v>
      </c>
      <c r="R160" s="12"/>
      <c r="S160" s="12"/>
      <c r="T160" s="12"/>
    </row>
    <row r="161" spans="1:20" ht="207.95" customHeight="1" x14ac:dyDescent="0.25">
      <c r="A161" s="12" t="s">
        <v>1772</v>
      </c>
      <c r="B161" s="12" t="s">
        <v>186</v>
      </c>
      <c r="C161" s="12" t="s">
        <v>187</v>
      </c>
      <c r="D161" s="12" t="s">
        <v>224</v>
      </c>
      <c r="E161" s="12" t="s">
        <v>17</v>
      </c>
      <c r="F161" s="12" t="s">
        <v>56</v>
      </c>
      <c r="G161" s="12" t="s">
        <v>1773</v>
      </c>
      <c r="H161" s="12" t="s">
        <v>1381</v>
      </c>
      <c r="I161" s="45">
        <v>44835</v>
      </c>
      <c r="J161" s="45">
        <v>44796</v>
      </c>
      <c r="K161" s="12" t="s">
        <v>59</v>
      </c>
      <c r="L161" s="12"/>
      <c r="M161" s="12" t="s">
        <v>60</v>
      </c>
      <c r="N161" s="45"/>
      <c r="O161" s="12"/>
      <c r="P161" s="12"/>
      <c r="Q161" s="12" t="s">
        <v>60</v>
      </c>
      <c r="R161" s="12"/>
      <c r="S161" s="12"/>
      <c r="T161" s="12"/>
    </row>
    <row r="162" spans="1:20" ht="90" x14ac:dyDescent="0.25">
      <c r="A162" s="12" t="s">
        <v>1774</v>
      </c>
      <c r="B162" s="12" t="s">
        <v>186</v>
      </c>
      <c r="C162" s="12" t="s">
        <v>187</v>
      </c>
      <c r="D162" s="12" t="s">
        <v>67</v>
      </c>
      <c r="E162" s="12" t="s">
        <v>30</v>
      </c>
      <c r="F162" s="12" t="s">
        <v>56</v>
      </c>
      <c r="G162" s="12" t="s">
        <v>1775</v>
      </c>
      <c r="H162" s="12" t="s">
        <v>1381</v>
      </c>
      <c r="I162" s="45">
        <v>42064</v>
      </c>
      <c r="J162" s="45"/>
      <c r="K162" s="12" t="s">
        <v>91</v>
      </c>
      <c r="L162" s="12"/>
      <c r="M162" s="12" t="s">
        <v>215</v>
      </c>
      <c r="N162" s="45">
        <v>42795</v>
      </c>
      <c r="O162" s="12" t="s">
        <v>1776</v>
      </c>
      <c r="P162" s="12"/>
      <c r="Q162" s="12" t="s">
        <v>60</v>
      </c>
      <c r="R162" s="12"/>
      <c r="S162" s="12"/>
      <c r="T162" s="12"/>
    </row>
    <row r="163" spans="1:20" ht="135" x14ac:dyDescent="0.25">
      <c r="A163" s="12" t="s">
        <v>1777</v>
      </c>
      <c r="B163" s="12" t="s">
        <v>186</v>
      </c>
      <c r="C163" s="12" t="s">
        <v>187</v>
      </c>
      <c r="D163" s="12" t="s">
        <v>67</v>
      </c>
      <c r="E163" s="12" t="s">
        <v>19</v>
      </c>
      <c r="F163" s="12" t="s">
        <v>56</v>
      </c>
      <c r="G163" s="12" t="s">
        <v>1778</v>
      </c>
      <c r="H163" s="12" t="s">
        <v>1381</v>
      </c>
      <c r="I163" s="45">
        <v>41944</v>
      </c>
      <c r="J163" s="45"/>
      <c r="K163" s="12" t="s">
        <v>91</v>
      </c>
      <c r="L163" s="12"/>
      <c r="M163" s="12" t="s">
        <v>215</v>
      </c>
      <c r="N163" s="45">
        <v>42795</v>
      </c>
      <c r="O163" s="12" t="s">
        <v>1779</v>
      </c>
      <c r="P163" s="12"/>
      <c r="Q163" s="12" t="s">
        <v>60</v>
      </c>
      <c r="R163" s="12"/>
      <c r="S163" s="12"/>
      <c r="T163" s="12"/>
    </row>
    <row r="164" spans="1:20" ht="150" x14ac:dyDescent="0.25">
      <c r="A164" s="12" t="s">
        <v>1780</v>
      </c>
      <c r="B164" s="12" t="s">
        <v>186</v>
      </c>
      <c r="C164" s="12" t="s">
        <v>187</v>
      </c>
      <c r="D164" s="12" t="s">
        <v>67</v>
      </c>
      <c r="E164" s="12" t="s">
        <v>21</v>
      </c>
      <c r="F164" s="12" t="s">
        <v>56</v>
      </c>
      <c r="G164" s="12" t="s">
        <v>1781</v>
      </c>
      <c r="H164" s="12" t="s">
        <v>1381</v>
      </c>
      <c r="I164" s="45">
        <v>42064</v>
      </c>
      <c r="J164" s="45"/>
      <c r="K164" s="12" t="s">
        <v>91</v>
      </c>
      <c r="L164" s="12"/>
      <c r="M164" s="12" t="s">
        <v>215</v>
      </c>
      <c r="N164" s="45">
        <v>42736</v>
      </c>
      <c r="O164" s="12" t="s">
        <v>1782</v>
      </c>
      <c r="P164" s="12"/>
      <c r="Q164" s="12" t="s">
        <v>60</v>
      </c>
      <c r="R164" s="12"/>
      <c r="S164" s="12"/>
      <c r="T164" s="12"/>
    </row>
    <row r="165" spans="1:20" ht="75" x14ac:dyDescent="0.25">
      <c r="A165" s="12" t="s">
        <v>1783</v>
      </c>
      <c r="B165" s="12" t="s">
        <v>186</v>
      </c>
      <c r="C165" s="12" t="s">
        <v>187</v>
      </c>
      <c r="D165" s="12" t="s">
        <v>67</v>
      </c>
      <c r="E165" s="12" t="s">
        <v>25</v>
      </c>
      <c r="F165" s="12" t="s">
        <v>56</v>
      </c>
      <c r="G165" s="12" t="s">
        <v>1784</v>
      </c>
      <c r="H165" s="12" t="s">
        <v>90</v>
      </c>
      <c r="I165" s="45">
        <v>42064</v>
      </c>
      <c r="J165" s="45"/>
      <c r="K165" s="12" t="s">
        <v>59</v>
      </c>
      <c r="L165" s="12"/>
      <c r="M165" s="12" t="s">
        <v>60</v>
      </c>
      <c r="N165" s="45"/>
      <c r="O165" s="12"/>
      <c r="P165" s="12"/>
      <c r="Q165" s="12" t="s">
        <v>60</v>
      </c>
      <c r="R165" s="12"/>
      <c r="S165" s="12"/>
      <c r="T165" s="12"/>
    </row>
    <row r="166" spans="1:20" ht="60" x14ac:dyDescent="0.25">
      <c r="A166" s="12" t="s">
        <v>1785</v>
      </c>
      <c r="B166" s="12" t="s">
        <v>186</v>
      </c>
      <c r="C166" s="12" t="s">
        <v>187</v>
      </c>
      <c r="D166" s="12" t="s">
        <v>67</v>
      </c>
      <c r="E166" s="12" t="s">
        <v>17</v>
      </c>
      <c r="F166" s="12" t="s">
        <v>56</v>
      </c>
      <c r="G166" s="12" t="s">
        <v>1786</v>
      </c>
      <c r="H166" s="12" t="s">
        <v>1381</v>
      </c>
      <c r="I166" s="45">
        <v>42064</v>
      </c>
      <c r="J166" s="45"/>
      <c r="K166" s="12" t="s">
        <v>91</v>
      </c>
      <c r="L166" s="12"/>
      <c r="M166" s="12" t="s">
        <v>215</v>
      </c>
      <c r="N166" s="45">
        <v>42736</v>
      </c>
      <c r="O166" s="12" t="s">
        <v>1787</v>
      </c>
      <c r="P166" s="12"/>
      <c r="Q166" s="12" t="s">
        <v>60</v>
      </c>
      <c r="R166" s="12"/>
      <c r="S166" s="12"/>
      <c r="T166" s="12"/>
    </row>
    <row r="167" spans="1:20" ht="210" x14ac:dyDescent="0.25">
      <c r="A167" s="12" t="s">
        <v>1788</v>
      </c>
      <c r="B167" s="12" t="s">
        <v>186</v>
      </c>
      <c r="C167" s="12" t="s">
        <v>187</v>
      </c>
      <c r="D167" s="12" t="s">
        <v>236</v>
      </c>
      <c r="E167" s="12" t="s">
        <v>17</v>
      </c>
      <c r="F167" s="12" t="s">
        <v>56</v>
      </c>
      <c r="G167" s="12" t="s">
        <v>1789</v>
      </c>
      <c r="H167" s="12" t="s">
        <v>1381</v>
      </c>
      <c r="I167" s="45">
        <v>43831</v>
      </c>
      <c r="J167" s="45">
        <v>43816</v>
      </c>
      <c r="K167" s="12" t="s">
        <v>59</v>
      </c>
      <c r="L167" s="12" t="s">
        <v>1785</v>
      </c>
      <c r="M167" s="12" t="s">
        <v>60</v>
      </c>
      <c r="N167" s="45"/>
      <c r="O167" s="12"/>
      <c r="P167" s="12"/>
      <c r="Q167" s="12" t="s">
        <v>60</v>
      </c>
      <c r="R167" s="12"/>
      <c r="S167" s="12"/>
      <c r="T167" s="12"/>
    </row>
    <row r="168" spans="1:20" ht="120" x14ac:dyDescent="0.25">
      <c r="A168" s="12" t="s">
        <v>1790</v>
      </c>
      <c r="B168" s="12" t="s">
        <v>186</v>
      </c>
      <c r="C168" s="12" t="s">
        <v>187</v>
      </c>
      <c r="D168" s="12" t="s">
        <v>83</v>
      </c>
      <c r="E168" s="12" t="s">
        <v>21</v>
      </c>
      <c r="F168" s="12" t="s">
        <v>56</v>
      </c>
      <c r="G168" s="12" t="s">
        <v>1791</v>
      </c>
      <c r="H168" s="12" t="s">
        <v>90</v>
      </c>
      <c r="I168" s="45">
        <v>43101</v>
      </c>
      <c r="J168" s="45">
        <v>43053</v>
      </c>
      <c r="K168" s="12" t="s">
        <v>59</v>
      </c>
      <c r="L168" s="12" t="s">
        <v>1780</v>
      </c>
      <c r="M168" s="12" t="s">
        <v>60</v>
      </c>
      <c r="N168" s="45"/>
      <c r="O168" s="12"/>
      <c r="P168" s="12" t="s">
        <v>1792</v>
      </c>
      <c r="Q168" s="12" t="s">
        <v>60</v>
      </c>
      <c r="R168" s="12"/>
      <c r="S168" s="12"/>
      <c r="T168" s="12"/>
    </row>
    <row r="169" spans="1:20" ht="165" x14ac:dyDescent="0.25">
      <c r="A169" s="12" t="s">
        <v>1793</v>
      </c>
      <c r="B169" s="12" t="s">
        <v>186</v>
      </c>
      <c r="C169" s="12" t="s">
        <v>187</v>
      </c>
      <c r="D169" s="12" t="s">
        <v>55</v>
      </c>
      <c r="E169" s="12" t="s">
        <v>19</v>
      </c>
      <c r="F169" s="12" t="s">
        <v>56</v>
      </c>
      <c r="G169" s="12" t="s">
        <v>1794</v>
      </c>
      <c r="H169" s="12" t="s">
        <v>90</v>
      </c>
      <c r="I169" s="45">
        <v>43282</v>
      </c>
      <c r="J169" s="45">
        <v>43249</v>
      </c>
      <c r="K169" s="12" t="s">
        <v>59</v>
      </c>
      <c r="L169" s="12" t="s">
        <v>1777</v>
      </c>
      <c r="M169" s="12" t="s">
        <v>60</v>
      </c>
      <c r="N169" s="45"/>
      <c r="O169" s="12"/>
      <c r="P169" s="12"/>
      <c r="Q169" s="12" t="s">
        <v>60</v>
      </c>
      <c r="R169" s="12"/>
      <c r="S169" s="12"/>
      <c r="T169" s="12"/>
    </row>
    <row r="170" spans="1:20" ht="255" x14ac:dyDescent="0.25">
      <c r="A170" s="12" t="s">
        <v>1795</v>
      </c>
      <c r="B170" s="12" t="s">
        <v>186</v>
      </c>
      <c r="C170" s="12" t="s">
        <v>187</v>
      </c>
      <c r="D170" s="12" t="s">
        <v>55</v>
      </c>
      <c r="E170" s="12" t="s">
        <v>1437</v>
      </c>
      <c r="F170" s="12" t="s">
        <v>56</v>
      </c>
      <c r="G170" s="12" t="s">
        <v>1796</v>
      </c>
      <c r="H170" s="12" t="s">
        <v>1381</v>
      </c>
      <c r="I170" s="45">
        <v>43282</v>
      </c>
      <c r="J170" s="45">
        <v>43249</v>
      </c>
      <c r="K170" s="12" t="s">
        <v>59</v>
      </c>
      <c r="L170" s="12"/>
      <c r="M170" s="12" t="s">
        <v>60</v>
      </c>
      <c r="N170" s="45"/>
      <c r="O170" s="12"/>
      <c r="P170" s="12"/>
      <c r="Q170" s="12" t="s">
        <v>60</v>
      </c>
      <c r="R170" s="12"/>
      <c r="S170" s="12"/>
      <c r="T170" s="12"/>
    </row>
    <row r="171" spans="1:20" ht="240" x14ac:dyDescent="0.25">
      <c r="A171" s="12" t="s">
        <v>1797</v>
      </c>
      <c r="B171" s="12" t="s">
        <v>186</v>
      </c>
      <c r="C171" s="12" t="s">
        <v>187</v>
      </c>
      <c r="D171" s="12" t="s">
        <v>83</v>
      </c>
      <c r="E171" s="12" t="s">
        <v>17</v>
      </c>
      <c r="F171" s="12" t="s">
        <v>56</v>
      </c>
      <c r="G171" s="12" t="s">
        <v>1798</v>
      </c>
      <c r="H171" s="12" t="s">
        <v>90</v>
      </c>
      <c r="I171" s="45">
        <v>43101</v>
      </c>
      <c r="J171" s="45">
        <v>43053</v>
      </c>
      <c r="K171" s="12" t="s">
        <v>91</v>
      </c>
      <c r="L171" s="12" t="s">
        <v>1785</v>
      </c>
      <c r="M171" s="12" t="s">
        <v>215</v>
      </c>
      <c r="N171" s="45">
        <v>43282</v>
      </c>
      <c r="O171" s="12"/>
      <c r="P171" s="12" t="s">
        <v>1792</v>
      </c>
      <c r="Q171" s="12" t="s">
        <v>60</v>
      </c>
      <c r="R171" s="12"/>
      <c r="S171" s="12"/>
      <c r="T171" s="12"/>
    </row>
    <row r="172" spans="1:20" ht="165" x14ac:dyDescent="0.25">
      <c r="A172" s="12" t="s">
        <v>1799</v>
      </c>
      <c r="B172" s="12" t="s">
        <v>186</v>
      </c>
      <c r="C172" s="12" t="s">
        <v>187</v>
      </c>
      <c r="D172" s="12" t="s">
        <v>126</v>
      </c>
      <c r="E172" s="12" t="s">
        <v>17</v>
      </c>
      <c r="F172" s="12" t="s">
        <v>56</v>
      </c>
      <c r="G172" s="12" t="s">
        <v>1800</v>
      </c>
      <c r="H172" s="12" t="s">
        <v>90</v>
      </c>
      <c r="I172" s="45">
        <v>42795</v>
      </c>
      <c r="J172" s="45">
        <v>42717</v>
      </c>
      <c r="K172" s="12" t="s">
        <v>91</v>
      </c>
      <c r="L172" s="12" t="s">
        <v>1785</v>
      </c>
      <c r="M172" s="12" t="s">
        <v>60</v>
      </c>
      <c r="N172" s="45"/>
      <c r="O172" s="12"/>
      <c r="P172" s="12"/>
      <c r="Q172" s="12" t="s">
        <v>60</v>
      </c>
      <c r="R172" s="12"/>
      <c r="S172" s="12"/>
      <c r="T172" s="12"/>
    </row>
    <row r="173" spans="1:20" ht="135" x14ac:dyDescent="0.25">
      <c r="A173" s="12" t="s">
        <v>1801</v>
      </c>
      <c r="B173" s="12" t="s">
        <v>186</v>
      </c>
      <c r="C173" s="12" t="s">
        <v>187</v>
      </c>
      <c r="D173" s="12" t="s">
        <v>126</v>
      </c>
      <c r="E173" s="12" t="s">
        <v>19</v>
      </c>
      <c r="F173" s="12" t="s">
        <v>56</v>
      </c>
      <c r="G173" s="12" t="s">
        <v>1802</v>
      </c>
      <c r="H173" s="12" t="s">
        <v>90</v>
      </c>
      <c r="I173" s="45">
        <v>42736</v>
      </c>
      <c r="J173" s="45">
        <v>42717</v>
      </c>
      <c r="K173" s="12" t="s">
        <v>91</v>
      </c>
      <c r="L173" s="12" t="s">
        <v>1777</v>
      </c>
      <c r="M173" s="12" t="s">
        <v>60</v>
      </c>
      <c r="N173" s="45"/>
      <c r="O173" s="12"/>
      <c r="P173" s="12"/>
      <c r="Q173" s="12" t="s">
        <v>60</v>
      </c>
      <c r="R173" s="12"/>
      <c r="S173" s="12"/>
      <c r="T173" s="12"/>
    </row>
    <row r="174" spans="1:20" ht="240" x14ac:dyDescent="0.25">
      <c r="A174" s="12" t="s">
        <v>1803</v>
      </c>
      <c r="B174" s="12" t="s">
        <v>186</v>
      </c>
      <c r="C174" s="12" t="s">
        <v>187</v>
      </c>
      <c r="D174" s="12" t="s">
        <v>126</v>
      </c>
      <c r="E174" s="12" t="s">
        <v>21</v>
      </c>
      <c r="F174" s="12" t="s">
        <v>56</v>
      </c>
      <c r="G174" s="12" t="s">
        <v>1804</v>
      </c>
      <c r="H174" s="12" t="s">
        <v>90</v>
      </c>
      <c r="I174" s="45">
        <v>42736</v>
      </c>
      <c r="J174" s="45">
        <v>42717</v>
      </c>
      <c r="K174" s="12" t="s">
        <v>91</v>
      </c>
      <c r="L174" s="12" t="s">
        <v>1780</v>
      </c>
      <c r="M174" s="12" t="s">
        <v>60</v>
      </c>
      <c r="N174" s="45"/>
      <c r="O174" s="12"/>
      <c r="P174" s="12"/>
      <c r="Q174" s="12" t="s">
        <v>60</v>
      </c>
      <c r="R174" s="12"/>
      <c r="S174" s="12"/>
      <c r="T174" s="12"/>
    </row>
    <row r="175" spans="1:20" ht="255" x14ac:dyDescent="0.25">
      <c r="A175" s="12" t="s">
        <v>1805</v>
      </c>
      <c r="B175" s="12" t="s">
        <v>191</v>
      </c>
      <c r="C175" s="12" t="s">
        <v>192</v>
      </c>
      <c r="D175" s="12" t="s">
        <v>55</v>
      </c>
      <c r="E175" s="12" t="s">
        <v>17</v>
      </c>
      <c r="F175" s="12" t="s">
        <v>56</v>
      </c>
      <c r="G175" s="12" t="s">
        <v>1806</v>
      </c>
      <c r="H175" s="12" t="s">
        <v>1381</v>
      </c>
      <c r="I175" s="45">
        <v>43409</v>
      </c>
      <c r="J175" s="45">
        <v>43395</v>
      </c>
      <c r="K175" s="12" t="s">
        <v>91</v>
      </c>
      <c r="L175" s="12" t="s">
        <v>1807</v>
      </c>
      <c r="M175" s="12" t="s">
        <v>215</v>
      </c>
      <c r="N175" s="45">
        <v>43770</v>
      </c>
      <c r="O175" s="12" t="s">
        <v>1808</v>
      </c>
      <c r="P175" s="12" t="s">
        <v>1809</v>
      </c>
      <c r="Q175" s="12" t="s">
        <v>60</v>
      </c>
      <c r="R175" s="12"/>
      <c r="S175" s="12"/>
      <c r="T175" s="12"/>
    </row>
    <row r="176" spans="1:20" ht="180" x14ac:dyDescent="0.25">
      <c r="A176" s="12" t="s">
        <v>1810</v>
      </c>
      <c r="B176" s="12" t="s">
        <v>191</v>
      </c>
      <c r="C176" s="12" t="s">
        <v>192</v>
      </c>
      <c r="D176" s="12" t="s">
        <v>236</v>
      </c>
      <c r="E176" s="12" t="s">
        <v>21</v>
      </c>
      <c r="F176" s="12" t="s">
        <v>56</v>
      </c>
      <c r="G176" s="12" t="s">
        <v>1811</v>
      </c>
      <c r="H176" s="12" t="s">
        <v>90</v>
      </c>
      <c r="I176" s="45">
        <v>43770</v>
      </c>
      <c r="J176" s="45">
        <v>43711</v>
      </c>
      <c r="K176" s="12" t="s">
        <v>59</v>
      </c>
      <c r="L176" s="12" t="s">
        <v>1812</v>
      </c>
      <c r="M176" s="12" t="s">
        <v>60</v>
      </c>
      <c r="N176" s="45"/>
      <c r="O176" s="12"/>
      <c r="P176" s="12" t="s">
        <v>1813</v>
      </c>
      <c r="Q176" s="12" t="s">
        <v>60</v>
      </c>
      <c r="R176" s="12"/>
      <c r="S176" s="12"/>
      <c r="T176" s="12"/>
    </row>
    <row r="177" spans="1:20" ht="210" x14ac:dyDescent="0.25">
      <c r="A177" s="12" t="s">
        <v>1814</v>
      </c>
      <c r="B177" s="12" t="s">
        <v>191</v>
      </c>
      <c r="C177" s="12" t="s">
        <v>192</v>
      </c>
      <c r="D177" s="12" t="s">
        <v>224</v>
      </c>
      <c r="E177" s="12" t="s">
        <v>19</v>
      </c>
      <c r="F177" s="12" t="s">
        <v>56</v>
      </c>
      <c r="G177" s="12" t="s">
        <v>1815</v>
      </c>
      <c r="H177" s="12" t="s">
        <v>90</v>
      </c>
      <c r="I177" s="45">
        <v>44743</v>
      </c>
      <c r="J177" s="45">
        <v>44680</v>
      </c>
      <c r="K177" s="12" t="s">
        <v>59</v>
      </c>
      <c r="L177" s="12"/>
      <c r="M177" s="12" t="s">
        <v>60</v>
      </c>
      <c r="N177" s="45"/>
      <c r="O177" s="12"/>
      <c r="P177" s="12"/>
      <c r="Q177" s="12" t="s">
        <v>60</v>
      </c>
      <c r="R177" s="12"/>
      <c r="S177" s="12"/>
      <c r="T177" s="12"/>
    </row>
    <row r="178" spans="1:20" ht="45" x14ac:dyDescent="0.25">
      <c r="A178" s="12" t="s">
        <v>1816</v>
      </c>
      <c r="B178" s="12" t="s">
        <v>191</v>
      </c>
      <c r="C178" s="12" t="s">
        <v>192</v>
      </c>
      <c r="D178" s="12" t="s">
        <v>220</v>
      </c>
      <c r="E178" s="12" t="s">
        <v>17</v>
      </c>
      <c r="F178" s="12" t="s">
        <v>56</v>
      </c>
      <c r="G178" s="12" t="s">
        <v>1817</v>
      </c>
      <c r="H178" s="12" t="s">
        <v>1381</v>
      </c>
      <c r="I178" s="45">
        <v>45108</v>
      </c>
      <c r="J178" s="45">
        <v>45083</v>
      </c>
      <c r="K178" s="12" t="s">
        <v>59</v>
      </c>
      <c r="L178" s="12" t="s">
        <v>1807</v>
      </c>
      <c r="M178" s="12" t="s">
        <v>60</v>
      </c>
      <c r="N178" s="45"/>
      <c r="O178" s="12"/>
      <c r="P178" s="12"/>
      <c r="Q178" s="12" t="s">
        <v>60</v>
      </c>
      <c r="R178" s="12"/>
      <c r="S178" s="12"/>
      <c r="T178" s="12"/>
    </row>
    <row r="179" spans="1:20" ht="255" x14ac:dyDescent="0.25">
      <c r="A179" s="12" t="s">
        <v>1818</v>
      </c>
      <c r="B179" s="12" t="s">
        <v>191</v>
      </c>
      <c r="C179" s="12" t="s">
        <v>192</v>
      </c>
      <c r="D179" s="12" t="s">
        <v>220</v>
      </c>
      <c r="E179" s="12" t="s">
        <v>17</v>
      </c>
      <c r="F179" s="12" t="s">
        <v>56</v>
      </c>
      <c r="G179" s="12" t="s">
        <v>1819</v>
      </c>
      <c r="H179" s="12" t="s">
        <v>1381</v>
      </c>
      <c r="I179" s="45">
        <v>45108</v>
      </c>
      <c r="J179" s="45">
        <v>45083</v>
      </c>
      <c r="K179" s="12" t="s">
        <v>59</v>
      </c>
      <c r="L179" s="12" t="s">
        <v>1807</v>
      </c>
      <c r="M179" s="12" t="s">
        <v>60</v>
      </c>
      <c r="N179" s="45"/>
      <c r="O179" s="12"/>
      <c r="P179" s="12"/>
      <c r="Q179" s="12" t="s">
        <v>60</v>
      </c>
      <c r="R179" s="12"/>
      <c r="S179" s="12"/>
      <c r="T179" s="12"/>
    </row>
    <row r="180" spans="1:20" ht="45" x14ac:dyDescent="0.25">
      <c r="A180" s="12" t="s">
        <v>1820</v>
      </c>
      <c r="B180" s="12" t="s">
        <v>191</v>
      </c>
      <c r="C180" s="12" t="s">
        <v>192</v>
      </c>
      <c r="D180" s="12" t="s">
        <v>220</v>
      </c>
      <c r="E180" s="12" t="s">
        <v>17</v>
      </c>
      <c r="F180" s="12" t="s">
        <v>56</v>
      </c>
      <c r="G180" s="12" t="s">
        <v>1821</v>
      </c>
      <c r="H180" s="12" t="s">
        <v>1381</v>
      </c>
      <c r="I180" s="45">
        <v>45108</v>
      </c>
      <c r="J180" s="45">
        <v>45083</v>
      </c>
      <c r="K180" s="12" t="s">
        <v>59</v>
      </c>
      <c r="L180" s="12" t="s">
        <v>1807</v>
      </c>
      <c r="M180" s="12" t="s">
        <v>60</v>
      </c>
      <c r="N180" s="45"/>
      <c r="O180" s="12"/>
      <c r="P180" s="12"/>
      <c r="Q180" s="12" t="s">
        <v>60</v>
      </c>
      <c r="R180" s="12"/>
      <c r="S180" s="12"/>
      <c r="T180" s="12"/>
    </row>
    <row r="181" spans="1:20" ht="135" x14ac:dyDescent="0.25">
      <c r="A181" s="12" t="s">
        <v>1822</v>
      </c>
      <c r="B181" s="12" t="s">
        <v>191</v>
      </c>
      <c r="C181" s="12" t="s">
        <v>192</v>
      </c>
      <c r="D181" s="12" t="s">
        <v>224</v>
      </c>
      <c r="E181" s="12" t="s">
        <v>17</v>
      </c>
      <c r="F181" s="12" t="s">
        <v>56</v>
      </c>
      <c r="G181" s="12" t="s">
        <v>1823</v>
      </c>
      <c r="H181" s="12" t="s">
        <v>90</v>
      </c>
      <c r="I181" s="45">
        <v>44743</v>
      </c>
      <c r="J181" s="45">
        <v>44680</v>
      </c>
      <c r="K181" s="12" t="s">
        <v>59</v>
      </c>
      <c r="L181" s="12"/>
      <c r="M181" s="12" t="s">
        <v>60</v>
      </c>
      <c r="N181" s="45"/>
      <c r="O181" s="12"/>
      <c r="P181" s="12"/>
      <c r="Q181" s="12" t="s">
        <v>60</v>
      </c>
      <c r="R181" s="12"/>
      <c r="S181" s="12"/>
      <c r="T181" s="12"/>
    </row>
    <row r="182" spans="1:20" ht="150" x14ac:dyDescent="0.25">
      <c r="A182" s="12" t="s">
        <v>1824</v>
      </c>
      <c r="B182" s="12" t="s">
        <v>191</v>
      </c>
      <c r="C182" s="12" t="s">
        <v>192</v>
      </c>
      <c r="D182" s="12" t="s">
        <v>126</v>
      </c>
      <c r="E182" s="12" t="s">
        <v>19</v>
      </c>
      <c r="F182" s="12" t="s">
        <v>56</v>
      </c>
      <c r="G182" s="12" t="s">
        <v>1825</v>
      </c>
      <c r="H182" s="12" t="s">
        <v>1381</v>
      </c>
      <c r="I182" s="45">
        <v>42619</v>
      </c>
      <c r="J182" s="45">
        <v>42612</v>
      </c>
      <c r="K182" s="12" t="s">
        <v>59</v>
      </c>
      <c r="L182" s="12"/>
      <c r="M182" s="12" t="s">
        <v>215</v>
      </c>
      <c r="N182" s="45"/>
      <c r="O182" s="12"/>
      <c r="P182" s="12" t="s">
        <v>1826</v>
      </c>
      <c r="Q182" s="12" t="s">
        <v>60</v>
      </c>
      <c r="R182" s="12"/>
      <c r="S182" s="12"/>
      <c r="T182" s="12"/>
    </row>
    <row r="183" spans="1:20" ht="150" x14ac:dyDescent="0.25">
      <c r="A183" s="12" t="s">
        <v>1807</v>
      </c>
      <c r="B183" s="12" t="s">
        <v>191</v>
      </c>
      <c r="C183" s="12" t="s">
        <v>192</v>
      </c>
      <c r="D183" s="12" t="s">
        <v>126</v>
      </c>
      <c r="E183" s="12" t="s">
        <v>17</v>
      </c>
      <c r="F183" s="12" t="s">
        <v>56</v>
      </c>
      <c r="G183" s="12" t="s">
        <v>1827</v>
      </c>
      <c r="H183" s="12" t="s">
        <v>1381</v>
      </c>
      <c r="I183" s="45">
        <v>42619</v>
      </c>
      <c r="J183" s="45">
        <v>42612</v>
      </c>
      <c r="K183" s="12" t="s">
        <v>91</v>
      </c>
      <c r="L183" s="12"/>
      <c r="M183" s="12" t="s">
        <v>215</v>
      </c>
      <c r="N183" s="45">
        <v>43409</v>
      </c>
      <c r="O183" s="12" t="s">
        <v>1828</v>
      </c>
      <c r="P183" s="12" t="s">
        <v>1809</v>
      </c>
      <c r="Q183" s="12" t="s">
        <v>60</v>
      </c>
      <c r="R183" s="12"/>
      <c r="S183" s="12"/>
      <c r="T183" s="12"/>
    </row>
    <row r="184" spans="1:20" ht="195" x14ac:dyDescent="0.25">
      <c r="A184" s="12" t="s">
        <v>1812</v>
      </c>
      <c r="B184" s="12" t="s">
        <v>191</v>
      </c>
      <c r="C184" s="12" t="s">
        <v>192</v>
      </c>
      <c r="D184" s="12" t="s">
        <v>55</v>
      </c>
      <c r="E184" s="12" t="s">
        <v>21</v>
      </c>
      <c r="F184" s="12" t="s">
        <v>56</v>
      </c>
      <c r="G184" s="12" t="s">
        <v>1829</v>
      </c>
      <c r="H184" s="12" t="s">
        <v>1381</v>
      </c>
      <c r="I184" s="45">
        <v>43409</v>
      </c>
      <c r="J184" s="45">
        <v>43395</v>
      </c>
      <c r="K184" s="12" t="s">
        <v>91</v>
      </c>
      <c r="L184" s="12"/>
      <c r="M184" s="12" t="s">
        <v>215</v>
      </c>
      <c r="N184" s="45">
        <v>43770</v>
      </c>
      <c r="O184" s="12" t="s">
        <v>1808</v>
      </c>
      <c r="P184" s="12" t="s">
        <v>1809</v>
      </c>
      <c r="Q184" s="12" t="s">
        <v>60</v>
      </c>
      <c r="R184" s="12"/>
      <c r="S184" s="12"/>
      <c r="T184" s="12"/>
    </row>
    <row r="185" spans="1:20" ht="409.5" x14ac:dyDescent="0.25">
      <c r="A185" s="12" t="s">
        <v>1830</v>
      </c>
      <c r="B185" s="12" t="s">
        <v>191</v>
      </c>
      <c r="C185" s="12" t="s">
        <v>192</v>
      </c>
      <c r="D185" s="12" t="s">
        <v>236</v>
      </c>
      <c r="E185" s="12" t="s">
        <v>17</v>
      </c>
      <c r="F185" s="12" t="s">
        <v>56</v>
      </c>
      <c r="G185" s="12" t="s">
        <v>1831</v>
      </c>
      <c r="H185" s="12" t="s">
        <v>90</v>
      </c>
      <c r="I185" s="45">
        <v>43770</v>
      </c>
      <c r="J185" s="45">
        <v>43711</v>
      </c>
      <c r="K185" s="12" t="s">
        <v>91</v>
      </c>
      <c r="L185" s="12" t="s">
        <v>1807</v>
      </c>
      <c r="M185" s="12" t="s">
        <v>215</v>
      </c>
      <c r="N185" s="45"/>
      <c r="O185" s="12" t="s">
        <v>1832</v>
      </c>
      <c r="P185" s="12" t="s">
        <v>1813</v>
      </c>
      <c r="Q185" s="12" t="s">
        <v>60</v>
      </c>
      <c r="R185" s="12"/>
      <c r="S185" s="12"/>
      <c r="T185" s="12"/>
    </row>
    <row r="186" spans="1:20" ht="45" x14ac:dyDescent="0.25">
      <c r="A186" s="12" t="s">
        <v>1833</v>
      </c>
      <c r="B186" s="12" t="s">
        <v>197</v>
      </c>
      <c r="C186" s="12" t="s">
        <v>198</v>
      </c>
      <c r="D186" s="12" t="s">
        <v>1490</v>
      </c>
      <c r="E186" s="12" t="s">
        <v>19</v>
      </c>
      <c r="F186" s="12" t="s">
        <v>56</v>
      </c>
      <c r="G186" s="12" t="s">
        <v>1834</v>
      </c>
      <c r="H186" s="12" t="s">
        <v>90</v>
      </c>
      <c r="I186" s="45">
        <v>40452</v>
      </c>
      <c r="J186" s="45"/>
      <c r="K186" s="12" t="s">
        <v>59</v>
      </c>
      <c r="L186" s="12"/>
      <c r="M186" s="12" t="s">
        <v>60</v>
      </c>
      <c r="N186" s="45"/>
      <c r="O186" s="12"/>
      <c r="P186" s="12" t="s">
        <v>1835</v>
      </c>
      <c r="Q186" s="12" t="s">
        <v>215</v>
      </c>
      <c r="R186" s="12"/>
      <c r="S186" s="12"/>
      <c r="T186" s="12"/>
    </row>
    <row r="187" spans="1:20" ht="345" x14ac:dyDescent="0.25">
      <c r="A187" s="12" t="s">
        <v>1836</v>
      </c>
      <c r="B187" s="12" t="s">
        <v>197</v>
      </c>
      <c r="C187" s="12" t="s">
        <v>198</v>
      </c>
      <c r="D187" s="12" t="s">
        <v>83</v>
      </c>
      <c r="E187" s="12" t="s">
        <v>25</v>
      </c>
      <c r="F187" s="12" t="s">
        <v>56</v>
      </c>
      <c r="G187" s="12" t="s">
        <v>1837</v>
      </c>
      <c r="H187" s="12" t="s">
        <v>90</v>
      </c>
      <c r="I187" s="45">
        <v>43160</v>
      </c>
      <c r="J187" s="45">
        <v>43069</v>
      </c>
      <c r="K187" s="12" t="s">
        <v>59</v>
      </c>
      <c r="L187" s="12" t="s">
        <v>1838</v>
      </c>
      <c r="M187" s="12" t="s">
        <v>60</v>
      </c>
      <c r="N187" s="45"/>
      <c r="O187" s="12"/>
      <c r="P187" s="12" t="s">
        <v>1839</v>
      </c>
      <c r="Q187" s="12" t="s">
        <v>60</v>
      </c>
      <c r="R187" s="12"/>
      <c r="S187" s="12"/>
      <c r="T187" s="12"/>
    </row>
    <row r="188" spans="1:20" ht="285" x14ac:dyDescent="0.25">
      <c r="A188" s="12" t="s">
        <v>1840</v>
      </c>
      <c r="B188" s="12" t="s">
        <v>197</v>
      </c>
      <c r="C188" s="12" t="s">
        <v>198</v>
      </c>
      <c r="D188" s="12" t="s">
        <v>126</v>
      </c>
      <c r="E188" s="12" t="s">
        <v>25</v>
      </c>
      <c r="F188" s="12" t="s">
        <v>56</v>
      </c>
      <c r="G188" s="12" t="s">
        <v>1841</v>
      </c>
      <c r="H188" s="12" t="s">
        <v>90</v>
      </c>
      <c r="I188" s="45">
        <v>42522</v>
      </c>
      <c r="J188" s="45"/>
      <c r="K188" s="12" t="s">
        <v>59</v>
      </c>
      <c r="L188" s="12" t="s">
        <v>1838</v>
      </c>
      <c r="M188" s="12" t="s">
        <v>60</v>
      </c>
      <c r="N188" s="45"/>
      <c r="O188" s="12"/>
      <c r="P188" s="12" t="s">
        <v>1842</v>
      </c>
      <c r="Q188" s="12" t="s">
        <v>60</v>
      </c>
      <c r="R188" s="12"/>
      <c r="S188" s="12"/>
      <c r="T188" s="12"/>
    </row>
    <row r="189" spans="1:20" ht="150" x14ac:dyDescent="0.25">
      <c r="A189" s="12" t="s">
        <v>1838</v>
      </c>
      <c r="B189" s="12" t="s">
        <v>197</v>
      </c>
      <c r="C189" s="12" t="s">
        <v>198</v>
      </c>
      <c r="D189" s="12" t="s">
        <v>67</v>
      </c>
      <c r="E189" s="12" t="s">
        <v>25</v>
      </c>
      <c r="F189" s="12" t="s">
        <v>56</v>
      </c>
      <c r="G189" s="12" t="s">
        <v>1843</v>
      </c>
      <c r="H189" s="12"/>
      <c r="I189" s="45">
        <v>42375</v>
      </c>
      <c r="J189" s="45"/>
      <c r="K189" s="12" t="s">
        <v>59</v>
      </c>
      <c r="L189" s="12"/>
      <c r="M189" s="12" t="s">
        <v>60</v>
      </c>
      <c r="N189" s="45"/>
      <c r="O189" s="12"/>
      <c r="P189" s="12" t="s">
        <v>1844</v>
      </c>
      <c r="Q189" s="12" t="s">
        <v>60</v>
      </c>
      <c r="R189" s="12"/>
      <c r="S189" s="12"/>
      <c r="T189" s="12"/>
    </row>
    <row r="190" spans="1:20" ht="240" x14ac:dyDescent="0.25">
      <c r="A190" s="12" t="s">
        <v>1845</v>
      </c>
      <c r="B190" s="12" t="s">
        <v>200</v>
      </c>
      <c r="C190" s="12" t="s">
        <v>1846</v>
      </c>
      <c r="D190" s="12" t="s">
        <v>67</v>
      </c>
      <c r="E190" s="12" t="s">
        <v>30</v>
      </c>
      <c r="F190" s="12" t="s">
        <v>56</v>
      </c>
      <c r="G190" s="12" t="s">
        <v>1847</v>
      </c>
      <c r="H190" s="12" t="s">
        <v>90</v>
      </c>
      <c r="I190" s="45">
        <v>41791</v>
      </c>
      <c r="J190" s="45"/>
      <c r="K190" s="12" t="s">
        <v>91</v>
      </c>
      <c r="L190" s="12"/>
      <c r="M190" s="12" t="s">
        <v>215</v>
      </c>
      <c r="N190" s="45">
        <v>42907</v>
      </c>
      <c r="O190" s="12" t="s">
        <v>1848</v>
      </c>
      <c r="P190" s="12" t="s">
        <v>1849</v>
      </c>
      <c r="Q190" s="12" t="s">
        <v>60</v>
      </c>
      <c r="R190" s="12"/>
      <c r="S190" s="12"/>
      <c r="T190" s="12"/>
    </row>
    <row r="191" spans="1:20" ht="135" x14ac:dyDescent="0.25">
      <c r="A191" s="12" t="s">
        <v>1850</v>
      </c>
      <c r="B191" s="12" t="s">
        <v>200</v>
      </c>
      <c r="C191" s="12" t="s">
        <v>1846</v>
      </c>
      <c r="D191" s="12" t="s">
        <v>67</v>
      </c>
      <c r="E191" s="12" t="s">
        <v>18</v>
      </c>
      <c r="F191" s="12" t="s">
        <v>56</v>
      </c>
      <c r="G191" s="12" t="s">
        <v>1851</v>
      </c>
      <c r="H191" s="12" t="s">
        <v>1852</v>
      </c>
      <c r="I191" s="45">
        <v>41913</v>
      </c>
      <c r="J191" s="45"/>
      <c r="K191" s="12" t="s">
        <v>59</v>
      </c>
      <c r="L191" s="12"/>
      <c r="M191" s="12" t="s">
        <v>60</v>
      </c>
      <c r="N191" s="45"/>
      <c r="O191" s="12"/>
      <c r="P191" s="12" t="s">
        <v>1849</v>
      </c>
      <c r="Q191" s="12" t="s">
        <v>60</v>
      </c>
      <c r="R191" s="12"/>
      <c r="S191" s="12"/>
      <c r="T191" s="12"/>
    </row>
    <row r="192" spans="1:20" ht="285" x14ac:dyDescent="0.25">
      <c r="A192" s="12" t="s">
        <v>1853</v>
      </c>
      <c r="B192" s="12" t="s">
        <v>200</v>
      </c>
      <c r="C192" s="12" t="s">
        <v>1846</v>
      </c>
      <c r="D192" s="12" t="s">
        <v>83</v>
      </c>
      <c r="E192" s="12" t="s">
        <v>30</v>
      </c>
      <c r="F192" s="12" t="s">
        <v>56</v>
      </c>
      <c r="G192" s="12" t="s">
        <v>1854</v>
      </c>
      <c r="H192" s="12" t="s">
        <v>1381</v>
      </c>
      <c r="I192" s="45">
        <v>42907</v>
      </c>
      <c r="J192" s="45">
        <v>42907</v>
      </c>
      <c r="K192" s="12" t="s">
        <v>59</v>
      </c>
      <c r="L192" s="12" t="s">
        <v>1845</v>
      </c>
      <c r="M192" s="12" t="s">
        <v>60</v>
      </c>
      <c r="N192" s="45"/>
      <c r="O192" s="12"/>
      <c r="P192" s="12" t="s">
        <v>1855</v>
      </c>
      <c r="Q192" s="12" t="s">
        <v>60</v>
      </c>
      <c r="R192" s="12"/>
      <c r="S192" s="12"/>
      <c r="T192" s="12"/>
    </row>
  </sheetData>
  <mergeCells count="3">
    <mergeCell ref="I4:J4"/>
    <mergeCell ref="Q4:S4"/>
    <mergeCell ref="M4:O4"/>
  </mergeCells>
  <hyperlinks>
    <hyperlink ref="A1" location="'Table of Contents'!A1" display="&lt; Table of Contents" xr:uid="{00000000-0004-0000-0600-000000000000}"/>
  </hyperlinks>
  <pageMargins left="0.7" right="0.7" top="0.75" bottom="0.75" header="0.3" footer="0.3"/>
  <pageSetup paperSize="9" scale="56" fitToHeight="0" orientation="landscape"/>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T558"/>
  <sheetViews>
    <sheetView workbookViewId="0">
      <selection activeCell="D9" sqref="D9"/>
    </sheetView>
  </sheetViews>
  <sheetFormatPr defaultRowHeight="15" x14ac:dyDescent="0.25"/>
  <cols>
    <col min="1" max="1" width="12.5703125" style="1" customWidth="1"/>
    <col min="2" max="2" width="11.5703125" style="1" bestFit="1" customWidth="1"/>
    <col min="3" max="3" width="15.5703125" style="1" customWidth="1"/>
    <col min="4" max="4" width="25.5703125" style="1" customWidth="1"/>
    <col min="5" max="7" width="12.5703125" style="1" customWidth="1"/>
    <col min="8" max="8" width="40.5703125" style="1" customWidth="1"/>
    <col min="9" max="10" width="20.5703125" style="1" customWidth="1"/>
    <col min="11" max="11" width="15.5703125" style="1" customWidth="1"/>
    <col min="12" max="14" width="17.5703125" style="1" customWidth="1"/>
    <col min="15" max="15" width="12.5703125" style="1" customWidth="1"/>
    <col min="16" max="19" width="20.5703125" style="1" customWidth="1"/>
    <col min="20" max="20" width="70.5703125" style="1" customWidth="1"/>
  </cols>
  <sheetData>
    <row r="1" spans="1:20" x14ac:dyDescent="0.25">
      <c r="A1" s="48" t="s">
        <v>33</v>
      </c>
      <c r="B1" s="49"/>
      <c r="C1" s="14"/>
      <c r="D1" s="14"/>
      <c r="E1" s="14"/>
      <c r="F1" s="14"/>
      <c r="G1" s="14"/>
      <c r="H1" s="14"/>
      <c r="I1" s="14"/>
      <c r="J1" s="14"/>
      <c r="K1" s="14"/>
      <c r="L1" s="37"/>
      <c r="M1" s="37"/>
      <c r="N1" s="37"/>
      <c r="O1" s="14"/>
      <c r="P1" s="14"/>
      <c r="Q1" s="14"/>
      <c r="R1" s="14"/>
      <c r="S1" s="14"/>
      <c r="T1" s="14"/>
    </row>
    <row r="2" spans="1:20" x14ac:dyDescent="0.25">
      <c r="A2" s="39"/>
      <c r="B2" s="49"/>
      <c r="C2" s="14"/>
      <c r="D2" s="14"/>
      <c r="E2" s="14"/>
      <c r="F2" s="14"/>
      <c r="G2" s="14"/>
      <c r="H2" s="14"/>
      <c r="I2" s="14"/>
      <c r="J2" s="14"/>
      <c r="K2" s="14"/>
      <c r="L2" s="37"/>
      <c r="M2" s="37"/>
      <c r="N2" s="37"/>
      <c r="O2" s="14"/>
      <c r="P2" s="14"/>
      <c r="Q2" s="14"/>
      <c r="R2" s="14"/>
      <c r="S2" s="14"/>
      <c r="T2" s="14"/>
    </row>
    <row r="3" spans="1:20" ht="21" customHeight="1" x14ac:dyDescent="0.35">
      <c r="A3" s="50" t="s">
        <v>1856</v>
      </c>
      <c r="B3" s="49"/>
      <c r="C3" s="14"/>
      <c r="D3" s="14"/>
      <c r="E3" s="14"/>
      <c r="F3" s="14"/>
      <c r="G3" s="14"/>
      <c r="H3" s="14"/>
      <c r="I3" s="14"/>
      <c r="J3" s="14"/>
      <c r="K3" s="14"/>
      <c r="L3" s="37"/>
      <c r="M3" s="37"/>
      <c r="N3" s="37"/>
      <c r="O3" s="14"/>
      <c r="P3" s="14"/>
      <c r="Q3" s="14"/>
      <c r="R3" s="14"/>
      <c r="S3" s="14"/>
      <c r="T3" s="14"/>
    </row>
    <row r="4" spans="1:20" x14ac:dyDescent="0.25">
      <c r="A4" s="39"/>
      <c r="B4" s="49"/>
      <c r="C4" s="14"/>
      <c r="D4" s="14"/>
      <c r="E4" s="14"/>
      <c r="F4" s="14"/>
      <c r="G4" s="14"/>
      <c r="H4" s="14"/>
      <c r="I4" s="14"/>
      <c r="J4" s="14"/>
      <c r="K4" s="14"/>
      <c r="L4" s="57" t="s">
        <v>35</v>
      </c>
      <c r="M4" s="60"/>
      <c r="N4" s="61"/>
      <c r="O4" s="14"/>
      <c r="P4" s="58" t="s">
        <v>36</v>
      </c>
      <c r="Q4" s="60"/>
      <c r="R4" s="61"/>
      <c r="S4" s="14"/>
      <c r="T4" s="14"/>
    </row>
    <row r="5" spans="1:20" ht="26.1" customHeight="1" x14ac:dyDescent="0.25">
      <c r="A5" s="41" t="s">
        <v>37</v>
      </c>
      <c r="B5" s="41" t="s">
        <v>38</v>
      </c>
      <c r="C5" s="41" t="s">
        <v>39</v>
      </c>
      <c r="D5" s="41" t="s">
        <v>208</v>
      </c>
      <c r="E5" s="41" t="s">
        <v>1375</v>
      </c>
      <c r="F5" s="41" t="s">
        <v>1857</v>
      </c>
      <c r="G5" s="41" t="s">
        <v>42</v>
      </c>
      <c r="H5" s="41" t="s">
        <v>1858</v>
      </c>
      <c r="I5" s="41" t="s">
        <v>1859</v>
      </c>
      <c r="J5" s="41" t="s">
        <v>210</v>
      </c>
      <c r="K5" s="42" t="s">
        <v>44</v>
      </c>
      <c r="L5" s="42" t="s">
        <v>45</v>
      </c>
      <c r="M5" s="42" t="s">
        <v>46</v>
      </c>
      <c r="N5" s="41" t="s">
        <v>47</v>
      </c>
      <c r="O5" s="43" t="s">
        <v>48</v>
      </c>
      <c r="P5" s="43" t="s">
        <v>49</v>
      </c>
      <c r="Q5" s="43" t="s">
        <v>50</v>
      </c>
      <c r="R5" s="41" t="s">
        <v>1860</v>
      </c>
      <c r="S5" s="41" t="s">
        <v>51</v>
      </c>
      <c r="T5"/>
    </row>
    <row r="6" spans="1:20" ht="39" customHeight="1" x14ac:dyDescent="0.25">
      <c r="A6" s="12" t="s">
        <v>1861</v>
      </c>
      <c r="B6" s="12" t="s">
        <v>53</v>
      </c>
      <c r="C6" s="12" t="s">
        <v>54</v>
      </c>
      <c r="D6" s="12" t="s">
        <v>126</v>
      </c>
      <c r="E6" s="12" t="s">
        <v>1862</v>
      </c>
      <c r="F6" s="12" t="s">
        <v>56</v>
      </c>
      <c r="G6" s="12" t="s">
        <v>1863</v>
      </c>
      <c r="H6" s="12"/>
      <c r="I6" s="12"/>
      <c r="J6" s="12"/>
      <c r="K6" s="45">
        <v>42689</v>
      </c>
      <c r="L6" s="45">
        <v>42689</v>
      </c>
      <c r="M6" s="45">
        <v>42689</v>
      </c>
      <c r="N6" s="12" t="s">
        <v>91</v>
      </c>
      <c r="O6" s="12" t="s">
        <v>60</v>
      </c>
      <c r="P6" s="12"/>
      <c r="Q6" s="12"/>
      <c r="R6" s="12" t="s">
        <v>1864</v>
      </c>
      <c r="S6" s="12"/>
      <c r="T6"/>
    </row>
    <row r="7" spans="1:20" ht="39" customHeight="1" x14ac:dyDescent="0.25">
      <c r="A7" s="12" t="s">
        <v>1865</v>
      </c>
      <c r="B7" s="12" t="s">
        <v>53</v>
      </c>
      <c r="C7" s="12" t="s">
        <v>54</v>
      </c>
      <c r="D7" s="12" t="s">
        <v>236</v>
      </c>
      <c r="E7" s="12" t="s">
        <v>1862</v>
      </c>
      <c r="F7" s="12" t="s">
        <v>56</v>
      </c>
      <c r="G7" s="12" t="s">
        <v>1866</v>
      </c>
      <c r="H7" s="12"/>
      <c r="I7" s="12"/>
      <c r="J7" s="12" t="s">
        <v>1867</v>
      </c>
      <c r="K7" s="45">
        <v>43528</v>
      </c>
      <c r="L7" s="45">
        <v>43528</v>
      </c>
      <c r="M7" s="45">
        <v>43528</v>
      </c>
      <c r="N7" s="12" t="s">
        <v>59</v>
      </c>
      <c r="O7" s="12" t="s">
        <v>60</v>
      </c>
      <c r="P7" s="12"/>
      <c r="Q7" s="12"/>
      <c r="R7" s="12" t="s">
        <v>1868</v>
      </c>
      <c r="S7" s="12"/>
      <c r="T7"/>
    </row>
    <row r="8" spans="1:20" ht="78" customHeight="1" x14ac:dyDescent="0.25">
      <c r="A8" s="12" t="s">
        <v>1869</v>
      </c>
      <c r="B8" s="12" t="s">
        <v>53</v>
      </c>
      <c r="C8" s="12" t="s">
        <v>54</v>
      </c>
      <c r="D8" s="12" t="s">
        <v>55</v>
      </c>
      <c r="E8" s="12" t="s">
        <v>1862</v>
      </c>
      <c r="F8" s="12" t="s">
        <v>56</v>
      </c>
      <c r="G8" s="12" t="s">
        <v>1870</v>
      </c>
      <c r="H8" s="12"/>
      <c r="I8" s="12"/>
      <c r="J8" s="12"/>
      <c r="K8" s="45">
        <v>43195</v>
      </c>
      <c r="L8" s="45">
        <v>43195</v>
      </c>
      <c r="M8" s="45">
        <v>43195</v>
      </c>
      <c r="N8" s="12" t="s">
        <v>91</v>
      </c>
      <c r="O8" s="12" t="s">
        <v>60</v>
      </c>
      <c r="P8" s="12"/>
      <c r="Q8" s="12"/>
      <c r="R8" s="12" t="s">
        <v>1871</v>
      </c>
      <c r="S8" s="12"/>
      <c r="T8"/>
    </row>
    <row r="9" spans="1:20" ht="90.95" customHeight="1" x14ac:dyDescent="0.25">
      <c r="A9" s="12" t="s">
        <v>1872</v>
      </c>
      <c r="B9" s="12" t="s">
        <v>53</v>
      </c>
      <c r="C9" s="12" t="s">
        <v>54</v>
      </c>
      <c r="D9" s="12" t="s">
        <v>236</v>
      </c>
      <c r="E9" s="12" t="s">
        <v>1862</v>
      </c>
      <c r="F9" s="12" t="s">
        <v>56</v>
      </c>
      <c r="G9" s="12" t="s">
        <v>1873</v>
      </c>
      <c r="H9" s="12"/>
      <c r="I9" s="12"/>
      <c r="J9" s="12" t="s">
        <v>1867</v>
      </c>
      <c r="K9" s="45">
        <v>43528</v>
      </c>
      <c r="L9" s="45">
        <v>43528</v>
      </c>
      <c r="M9" s="45">
        <v>43528</v>
      </c>
      <c r="N9" s="12" t="s">
        <v>59</v>
      </c>
      <c r="O9" s="12" t="s">
        <v>60</v>
      </c>
      <c r="P9" s="12"/>
      <c r="Q9" s="12"/>
      <c r="R9" s="12" t="s">
        <v>1874</v>
      </c>
      <c r="S9" s="12"/>
      <c r="T9"/>
    </row>
    <row r="10" spans="1:20" ht="65.099999999999994" customHeight="1" x14ac:dyDescent="0.25">
      <c r="A10" s="12" t="s">
        <v>1875</v>
      </c>
      <c r="B10" s="12" t="s">
        <v>53</v>
      </c>
      <c r="C10" s="12" t="s">
        <v>54</v>
      </c>
      <c r="D10" s="12" t="s">
        <v>236</v>
      </c>
      <c r="E10" s="12" t="s">
        <v>1862</v>
      </c>
      <c r="F10" s="12" t="s">
        <v>56</v>
      </c>
      <c r="G10" s="12" t="s">
        <v>1876</v>
      </c>
      <c r="H10" s="12"/>
      <c r="I10" s="12"/>
      <c r="J10" s="12" t="s">
        <v>1867</v>
      </c>
      <c r="K10" s="45">
        <v>43620</v>
      </c>
      <c r="L10" s="45">
        <v>43620</v>
      </c>
      <c r="M10" s="45">
        <v>43620</v>
      </c>
      <c r="N10" s="12" t="s">
        <v>59</v>
      </c>
      <c r="O10" s="12" t="s">
        <v>60</v>
      </c>
      <c r="P10" s="12"/>
      <c r="Q10" s="12"/>
      <c r="R10" s="12" t="s">
        <v>1877</v>
      </c>
      <c r="S10" s="12"/>
      <c r="T10"/>
    </row>
    <row r="11" spans="1:20" ht="104.1" customHeight="1" x14ac:dyDescent="0.25">
      <c r="A11" s="12" t="s">
        <v>1878</v>
      </c>
      <c r="B11" s="12" t="s">
        <v>53</v>
      </c>
      <c r="C11" s="12" t="s">
        <v>54</v>
      </c>
      <c r="D11" s="12" t="s">
        <v>126</v>
      </c>
      <c r="E11" s="12" t="s">
        <v>1862</v>
      </c>
      <c r="F11" s="12" t="s">
        <v>56</v>
      </c>
      <c r="G11" s="12" t="s">
        <v>1879</v>
      </c>
      <c r="H11" s="12"/>
      <c r="I11" s="12"/>
      <c r="J11" s="12" t="s">
        <v>1880</v>
      </c>
      <c r="K11" s="45">
        <v>42648</v>
      </c>
      <c r="L11" s="45">
        <v>42648</v>
      </c>
      <c r="M11" s="45">
        <v>42648</v>
      </c>
      <c r="N11" s="12" t="s">
        <v>91</v>
      </c>
      <c r="O11" s="12" t="s">
        <v>60</v>
      </c>
      <c r="P11" s="12"/>
      <c r="Q11" s="12"/>
      <c r="R11" s="12" t="s">
        <v>1881</v>
      </c>
      <c r="S11" s="12"/>
      <c r="T11"/>
    </row>
    <row r="12" spans="1:20" ht="39" customHeight="1" x14ac:dyDescent="0.25">
      <c r="A12" s="12" t="s">
        <v>1882</v>
      </c>
      <c r="B12" s="12" t="s">
        <v>62</v>
      </c>
      <c r="C12" s="12" t="s">
        <v>63</v>
      </c>
      <c r="D12" s="12" t="s">
        <v>252</v>
      </c>
      <c r="E12" s="12" t="s">
        <v>1883</v>
      </c>
      <c r="F12" s="12" t="s">
        <v>212</v>
      </c>
      <c r="G12" s="12" t="s">
        <v>1884</v>
      </c>
      <c r="H12" s="12"/>
      <c r="I12" s="12"/>
      <c r="J12" s="12" t="s">
        <v>1885</v>
      </c>
      <c r="K12" s="45">
        <v>45581</v>
      </c>
      <c r="L12" s="45">
        <v>45573</v>
      </c>
      <c r="M12" s="45">
        <v>45575</v>
      </c>
      <c r="N12" s="12" t="s">
        <v>59</v>
      </c>
      <c r="O12" s="12" t="s">
        <v>60</v>
      </c>
      <c r="P12" s="12"/>
      <c r="Q12" s="12"/>
      <c r="R12" s="12" t="s">
        <v>1886</v>
      </c>
      <c r="S12" s="12"/>
      <c r="T12"/>
    </row>
    <row r="13" spans="1:20" ht="39" customHeight="1" x14ac:dyDescent="0.25">
      <c r="A13" s="12" t="s">
        <v>1887</v>
      </c>
      <c r="B13" s="12" t="s">
        <v>62</v>
      </c>
      <c r="C13" s="12" t="s">
        <v>63</v>
      </c>
      <c r="D13" s="12" t="s">
        <v>126</v>
      </c>
      <c r="E13" s="12" t="s">
        <v>1883</v>
      </c>
      <c r="F13" s="12" t="s">
        <v>56</v>
      </c>
      <c r="G13" s="12" t="s">
        <v>1888</v>
      </c>
      <c r="H13" s="12"/>
      <c r="I13" s="12"/>
      <c r="J13" s="12" t="s">
        <v>1889</v>
      </c>
      <c r="K13" s="45">
        <v>42653</v>
      </c>
      <c r="L13" s="45">
        <v>42626</v>
      </c>
      <c r="M13" s="45">
        <v>42626</v>
      </c>
      <c r="N13" s="12" t="s">
        <v>91</v>
      </c>
      <c r="O13" s="12" t="s">
        <v>60</v>
      </c>
      <c r="P13" s="12"/>
      <c r="Q13" s="12"/>
      <c r="R13" s="12" t="s">
        <v>1864</v>
      </c>
      <c r="S13" s="12" t="s">
        <v>1890</v>
      </c>
      <c r="T13"/>
    </row>
    <row r="14" spans="1:20" ht="65.099999999999994" customHeight="1" x14ac:dyDescent="0.25">
      <c r="A14" s="12" t="s">
        <v>1891</v>
      </c>
      <c r="B14" s="12" t="s">
        <v>62</v>
      </c>
      <c r="C14" s="12" t="s">
        <v>63</v>
      </c>
      <c r="D14" s="12" t="s">
        <v>228</v>
      </c>
      <c r="E14" s="12" t="s">
        <v>1883</v>
      </c>
      <c r="F14" s="12" t="s">
        <v>212</v>
      </c>
      <c r="G14" s="12" t="s">
        <v>1892</v>
      </c>
      <c r="H14" s="12" t="s">
        <v>1893</v>
      </c>
      <c r="I14" s="12"/>
      <c r="J14" s="12"/>
      <c r="K14" s="45">
        <v>44419</v>
      </c>
      <c r="L14" s="45">
        <v>44355</v>
      </c>
      <c r="M14" s="45">
        <v>44371</v>
      </c>
      <c r="N14" s="12" t="s">
        <v>59</v>
      </c>
      <c r="O14" s="12" t="s">
        <v>60</v>
      </c>
      <c r="P14" s="12"/>
      <c r="Q14" s="12"/>
      <c r="R14" s="12" t="s">
        <v>1894</v>
      </c>
      <c r="S14" s="12" t="s">
        <v>1890</v>
      </c>
      <c r="T14"/>
    </row>
    <row r="15" spans="1:20" ht="156" customHeight="1" x14ac:dyDescent="0.25">
      <c r="A15" s="12" t="s">
        <v>1895</v>
      </c>
      <c r="B15" s="12" t="s">
        <v>62</v>
      </c>
      <c r="C15" s="12" t="s">
        <v>63</v>
      </c>
      <c r="D15" s="12" t="s">
        <v>224</v>
      </c>
      <c r="E15" s="12" t="s">
        <v>1883</v>
      </c>
      <c r="F15" s="12" t="s">
        <v>212</v>
      </c>
      <c r="G15" s="12" t="s">
        <v>1896</v>
      </c>
      <c r="H15" s="12"/>
      <c r="I15" s="12"/>
      <c r="J15" s="12"/>
      <c r="K15" s="45">
        <v>44740</v>
      </c>
      <c r="L15" s="45">
        <v>44698</v>
      </c>
      <c r="M15" s="45">
        <v>44715</v>
      </c>
      <c r="N15" s="12" t="s">
        <v>59</v>
      </c>
      <c r="O15" s="12" t="s">
        <v>60</v>
      </c>
      <c r="P15" s="12"/>
      <c r="Q15" s="12"/>
      <c r="R15" s="12" t="s">
        <v>1897</v>
      </c>
      <c r="S15" s="12" t="s">
        <v>1890</v>
      </c>
      <c r="T15"/>
    </row>
    <row r="16" spans="1:20" ht="78" customHeight="1" x14ac:dyDescent="0.25">
      <c r="A16" s="12" t="s">
        <v>1898</v>
      </c>
      <c r="B16" s="12" t="s">
        <v>62</v>
      </c>
      <c r="C16" s="12" t="s">
        <v>63</v>
      </c>
      <c r="D16" s="12" t="s">
        <v>224</v>
      </c>
      <c r="E16" s="12" t="s">
        <v>1883</v>
      </c>
      <c r="F16" s="12" t="s">
        <v>56</v>
      </c>
      <c r="G16" s="12" t="s">
        <v>1899</v>
      </c>
      <c r="H16" s="12"/>
      <c r="I16" s="12"/>
      <c r="J16" s="12" t="s">
        <v>1889</v>
      </c>
      <c r="K16" s="45">
        <v>44743</v>
      </c>
      <c r="L16" s="45">
        <v>44698</v>
      </c>
      <c r="M16" s="45">
        <v>44714</v>
      </c>
      <c r="N16" s="12" t="s">
        <v>59</v>
      </c>
      <c r="O16" s="12" t="s">
        <v>60</v>
      </c>
      <c r="P16" s="12"/>
      <c r="Q16" s="12"/>
      <c r="R16" s="12" t="s">
        <v>1900</v>
      </c>
      <c r="S16" s="12" t="s">
        <v>1890</v>
      </c>
      <c r="T16"/>
    </row>
    <row r="17" spans="1:20" ht="221.1" customHeight="1" x14ac:dyDescent="0.25">
      <c r="A17" s="12" t="s">
        <v>1901</v>
      </c>
      <c r="B17" s="12" t="s">
        <v>62</v>
      </c>
      <c r="C17" s="12" t="s">
        <v>63</v>
      </c>
      <c r="D17" s="12" t="s">
        <v>228</v>
      </c>
      <c r="E17" s="12" t="s">
        <v>1883</v>
      </c>
      <c r="F17" s="12" t="s">
        <v>56</v>
      </c>
      <c r="G17" s="12" t="s">
        <v>1902</v>
      </c>
      <c r="H17" s="12"/>
      <c r="I17" s="12" t="s">
        <v>1903</v>
      </c>
      <c r="J17" s="12"/>
      <c r="K17" s="45">
        <v>44440</v>
      </c>
      <c r="L17" s="45">
        <v>44355</v>
      </c>
      <c r="M17" s="45">
        <v>44371</v>
      </c>
      <c r="N17" s="12" t="s">
        <v>59</v>
      </c>
      <c r="O17" s="12" t="s">
        <v>60</v>
      </c>
      <c r="P17" s="12"/>
      <c r="Q17" s="12"/>
      <c r="R17" s="12" t="s">
        <v>1904</v>
      </c>
      <c r="S17" s="12"/>
      <c r="T17"/>
    </row>
    <row r="18" spans="1:20" ht="143.1" customHeight="1" x14ac:dyDescent="0.25">
      <c r="A18" s="12" t="s">
        <v>1905</v>
      </c>
      <c r="B18" s="12" t="s">
        <v>62</v>
      </c>
      <c r="C18" s="12" t="s">
        <v>63</v>
      </c>
      <c r="D18" s="12" t="s">
        <v>236</v>
      </c>
      <c r="E18" s="12" t="s">
        <v>1883</v>
      </c>
      <c r="F18" s="12" t="s">
        <v>56</v>
      </c>
      <c r="G18" s="12" t="s">
        <v>1906</v>
      </c>
      <c r="H18" s="12" t="s">
        <v>1907</v>
      </c>
      <c r="I18" s="12"/>
      <c r="J18" s="12" t="s">
        <v>1880</v>
      </c>
      <c r="K18" s="45">
        <v>43606</v>
      </c>
      <c r="L18" s="45">
        <v>43600</v>
      </c>
      <c r="M18" s="45">
        <v>43612</v>
      </c>
      <c r="N18" s="12" t="s">
        <v>59</v>
      </c>
      <c r="O18" s="12" t="s">
        <v>60</v>
      </c>
      <c r="P18" s="12"/>
      <c r="Q18" s="12"/>
      <c r="R18" s="12" t="s">
        <v>1877</v>
      </c>
      <c r="S18" s="12" t="s">
        <v>1890</v>
      </c>
      <c r="T18"/>
    </row>
    <row r="19" spans="1:20" ht="129.94999999999999" customHeight="1" x14ac:dyDescent="0.25">
      <c r="A19" s="12" t="s">
        <v>1908</v>
      </c>
      <c r="B19" s="12" t="s">
        <v>62</v>
      </c>
      <c r="C19" s="12" t="s">
        <v>63</v>
      </c>
      <c r="D19" s="12" t="s">
        <v>224</v>
      </c>
      <c r="E19" s="12" t="s">
        <v>1883</v>
      </c>
      <c r="F19" s="12" t="s">
        <v>56</v>
      </c>
      <c r="G19" s="12" t="s">
        <v>1909</v>
      </c>
      <c r="H19" s="12"/>
      <c r="I19" s="12"/>
      <c r="J19" s="12" t="s">
        <v>915</v>
      </c>
      <c r="K19" s="45">
        <v>44902</v>
      </c>
      <c r="L19" s="45">
        <v>44901</v>
      </c>
      <c r="M19" s="45">
        <v>44907</v>
      </c>
      <c r="N19" s="12" t="s">
        <v>59</v>
      </c>
      <c r="O19" s="12" t="s">
        <v>60</v>
      </c>
      <c r="P19" s="12"/>
      <c r="Q19" s="12"/>
      <c r="R19" s="12" t="s">
        <v>1910</v>
      </c>
      <c r="S19" s="12" t="s">
        <v>1890</v>
      </c>
      <c r="T19"/>
    </row>
    <row r="20" spans="1:20" ht="117" customHeight="1" x14ac:dyDescent="0.25">
      <c r="A20" s="12" t="s">
        <v>1911</v>
      </c>
      <c r="B20" s="12" t="s">
        <v>62</v>
      </c>
      <c r="C20" s="12" t="s">
        <v>63</v>
      </c>
      <c r="D20" s="12" t="s">
        <v>228</v>
      </c>
      <c r="E20" s="12" t="s">
        <v>1883</v>
      </c>
      <c r="F20" s="12" t="s">
        <v>212</v>
      </c>
      <c r="G20" s="12" t="s">
        <v>1912</v>
      </c>
      <c r="H20" s="12"/>
      <c r="I20" s="12"/>
      <c r="J20" s="12"/>
      <c r="K20" s="45">
        <v>44507</v>
      </c>
      <c r="L20" s="45">
        <v>44467</v>
      </c>
      <c r="M20" s="45">
        <v>44487</v>
      </c>
      <c r="N20" s="12" t="s">
        <v>91</v>
      </c>
      <c r="O20" s="12" t="s">
        <v>60</v>
      </c>
      <c r="P20" s="12"/>
      <c r="Q20" s="12"/>
      <c r="R20" s="12" t="s">
        <v>1868</v>
      </c>
      <c r="S20" s="12" t="s">
        <v>1890</v>
      </c>
      <c r="T20"/>
    </row>
    <row r="21" spans="1:20" ht="39" customHeight="1" x14ac:dyDescent="0.25">
      <c r="A21" s="12" t="s">
        <v>1913</v>
      </c>
      <c r="B21" s="12" t="s">
        <v>62</v>
      </c>
      <c r="C21" s="12" t="s">
        <v>63</v>
      </c>
      <c r="D21" s="12" t="s">
        <v>224</v>
      </c>
      <c r="E21" s="12" t="s">
        <v>1883</v>
      </c>
      <c r="F21" s="12" t="s">
        <v>56</v>
      </c>
      <c r="G21" s="12" t="s">
        <v>1914</v>
      </c>
      <c r="H21" s="12" t="s">
        <v>1915</v>
      </c>
      <c r="I21" s="12"/>
      <c r="J21" s="12" t="s">
        <v>1885</v>
      </c>
      <c r="K21" s="45">
        <v>44958</v>
      </c>
      <c r="L21" s="45">
        <v>44901</v>
      </c>
      <c r="M21" s="45">
        <v>44907</v>
      </c>
      <c r="N21" s="12" t="s">
        <v>59</v>
      </c>
      <c r="O21" s="12" t="s">
        <v>60</v>
      </c>
      <c r="P21" s="12"/>
      <c r="Q21" s="12"/>
      <c r="R21" s="12" t="s">
        <v>1910</v>
      </c>
      <c r="S21" s="12" t="s">
        <v>1890</v>
      </c>
      <c r="T21"/>
    </row>
    <row r="22" spans="1:20" ht="129.94999999999999" customHeight="1" x14ac:dyDescent="0.25">
      <c r="A22" s="12" t="s">
        <v>1916</v>
      </c>
      <c r="B22" s="12" t="s">
        <v>62</v>
      </c>
      <c r="C22" s="12" t="s">
        <v>63</v>
      </c>
      <c r="D22" s="12" t="s">
        <v>220</v>
      </c>
      <c r="E22" s="12" t="s">
        <v>1883</v>
      </c>
      <c r="F22" s="12" t="s">
        <v>56</v>
      </c>
      <c r="G22" s="12" t="s">
        <v>1917</v>
      </c>
      <c r="H22" s="12"/>
      <c r="I22" s="12"/>
      <c r="J22" s="12" t="s">
        <v>1867</v>
      </c>
      <c r="K22" s="45">
        <v>45230</v>
      </c>
      <c r="L22" s="45">
        <v>45195</v>
      </c>
      <c r="M22" s="45">
        <v>45196</v>
      </c>
      <c r="N22" s="12" t="s">
        <v>59</v>
      </c>
      <c r="O22" s="12" t="s">
        <v>60</v>
      </c>
      <c r="P22" s="12"/>
      <c r="Q22" s="12"/>
      <c r="R22" s="12" t="s">
        <v>1918</v>
      </c>
      <c r="S22" s="12" t="s">
        <v>1890</v>
      </c>
      <c r="T22"/>
    </row>
    <row r="23" spans="1:20" ht="65.099999999999994" customHeight="1" x14ac:dyDescent="0.25">
      <c r="A23" s="12" t="s">
        <v>1919</v>
      </c>
      <c r="B23" s="12" t="s">
        <v>62</v>
      </c>
      <c r="C23" s="12" t="s">
        <v>63</v>
      </c>
      <c r="D23" s="12" t="s">
        <v>228</v>
      </c>
      <c r="E23" s="12" t="s">
        <v>1883</v>
      </c>
      <c r="F23" s="12" t="s">
        <v>212</v>
      </c>
      <c r="G23" s="12" t="s">
        <v>1920</v>
      </c>
      <c r="H23" s="12"/>
      <c r="I23" s="12" t="s">
        <v>1921</v>
      </c>
      <c r="J23" s="12"/>
      <c r="K23" s="45">
        <v>44419</v>
      </c>
      <c r="L23" s="45">
        <v>44355</v>
      </c>
      <c r="M23" s="45">
        <v>44371</v>
      </c>
      <c r="N23" s="12" t="s">
        <v>59</v>
      </c>
      <c r="O23" s="12" t="s">
        <v>60</v>
      </c>
      <c r="P23" s="12"/>
      <c r="Q23" s="12"/>
      <c r="R23" s="12" t="s">
        <v>1922</v>
      </c>
      <c r="S23" s="12" t="s">
        <v>1890</v>
      </c>
      <c r="T23"/>
    </row>
    <row r="24" spans="1:20" ht="39" customHeight="1" x14ac:dyDescent="0.25">
      <c r="A24" s="12" t="s">
        <v>1923</v>
      </c>
      <c r="B24" s="12" t="s">
        <v>62</v>
      </c>
      <c r="C24" s="12" t="s">
        <v>63</v>
      </c>
      <c r="D24" s="12" t="s">
        <v>236</v>
      </c>
      <c r="E24" s="12" t="s">
        <v>1883</v>
      </c>
      <c r="F24" s="12" t="s">
        <v>56</v>
      </c>
      <c r="G24" s="12" t="s">
        <v>1924</v>
      </c>
      <c r="H24" s="12" t="s">
        <v>1925</v>
      </c>
      <c r="I24" s="12"/>
      <c r="J24" s="12" t="s">
        <v>1867</v>
      </c>
      <c r="K24" s="45">
        <v>43556</v>
      </c>
      <c r="L24" s="45">
        <v>43550</v>
      </c>
      <c r="M24" s="45">
        <v>43558</v>
      </c>
      <c r="N24" s="12" t="s">
        <v>91</v>
      </c>
      <c r="O24" s="12" t="s">
        <v>215</v>
      </c>
      <c r="P24" s="12"/>
      <c r="Q24" s="12"/>
      <c r="R24" s="12" t="s">
        <v>1868</v>
      </c>
      <c r="S24" s="12" t="s">
        <v>1890</v>
      </c>
      <c r="T24"/>
    </row>
    <row r="25" spans="1:20" ht="39" customHeight="1" x14ac:dyDescent="0.25">
      <c r="A25" s="12" t="s">
        <v>1926</v>
      </c>
      <c r="B25" s="12" t="s">
        <v>62</v>
      </c>
      <c r="C25" s="12" t="s">
        <v>63</v>
      </c>
      <c r="D25" s="12" t="s">
        <v>236</v>
      </c>
      <c r="E25" s="12" t="s">
        <v>1883</v>
      </c>
      <c r="F25" s="12" t="s">
        <v>56</v>
      </c>
      <c r="G25" s="12" t="s">
        <v>1927</v>
      </c>
      <c r="H25" s="12" t="s">
        <v>1928</v>
      </c>
      <c r="I25" s="12"/>
      <c r="J25" s="12" t="s">
        <v>1889</v>
      </c>
      <c r="K25" s="45">
        <v>43606</v>
      </c>
      <c r="L25" s="45">
        <v>43600</v>
      </c>
      <c r="M25" s="45">
        <v>43612</v>
      </c>
      <c r="N25" s="12" t="s">
        <v>91</v>
      </c>
      <c r="O25" s="12" t="s">
        <v>60</v>
      </c>
      <c r="P25" s="12"/>
      <c r="Q25" s="12"/>
      <c r="R25" s="12" t="s">
        <v>1929</v>
      </c>
      <c r="S25" s="12"/>
      <c r="T25"/>
    </row>
    <row r="26" spans="1:20" ht="65.099999999999994" customHeight="1" x14ac:dyDescent="0.25">
      <c r="A26" s="12" t="s">
        <v>1930</v>
      </c>
      <c r="B26" s="12" t="s">
        <v>62</v>
      </c>
      <c r="C26" s="12" t="s">
        <v>63</v>
      </c>
      <c r="D26" s="12" t="s">
        <v>252</v>
      </c>
      <c r="E26" s="12" t="s">
        <v>1883</v>
      </c>
      <c r="F26" s="12" t="s">
        <v>56</v>
      </c>
      <c r="G26" s="12" t="s">
        <v>1931</v>
      </c>
      <c r="H26" s="12"/>
      <c r="I26" s="12"/>
      <c r="J26" s="12" t="s">
        <v>915</v>
      </c>
      <c r="K26" s="45">
        <v>45566</v>
      </c>
      <c r="L26" s="45">
        <v>45475</v>
      </c>
      <c r="M26" s="45">
        <v>45482</v>
      </c>
      <c r="N26" s="12" t="s">
        <v>59</v>
      </c>
      <c r="O26" s="12" t="s">
        <v>60</v>
      </c>
      <c r="P26" s="12"/>
      <c r="Q26" s="12"/>
      <c r="R26" s="12" t="s">
        <v>1932</v>
      </c>
      <c r="S26" s="12" t="s">
        <v>1890</v>
      </c>
      <c r="T26"/>
    </row>
    <row r="27" spans="1:20" ht="78" customHeight="1" x14ac:dyDescent="0.25">
      <c r="A27" s="12" t="s">
        <v>1933</v>
      </c>
      <c r="B27" s="12" t="s">
        <v>62</v>
      </c>
      <c r="C27" s="12" t="s">
        <v>63</v>
      </c>
      <c r="D27" s="12" t="s">
        <v>55</v>
      </c>
      <c r="E27" s="12" t="s">
        <v>1883</v>
      </c>
      <c r="F27" s="12" t="s">
        <v>56</v>
      </c>
      <c r="G27" s="12" t="s">
        <v>1934</v>
      </c>
      <c r="H27" s="12" t="s">
        <v>1935</v>
      </c>
      <c r="I27" s="12"/>
      <c r="J27" s="12" t="s">
        <v>1880</v>
      </c>
      <c r="K27" s="45">
        <v>43193</v>
      </c>
      <c r="L27" s="45">
        <v>43171</v>
      </c>
      <c r="M27" s="45">
        <v>43195</v>
      </c>
      <c r="N27" s="12" t="s">
        <v>91</v>
      </c>
      <c r="O27" s="12" t="s">
        <v>60</v>
      </c>
      <c r="P27" s="12"/>
      <c r="Q27" s="12"/>
      <c r="R27" s="12" t="s">
        <v>1871</v>
      </c>
      <c r="S27" s="12"/>
      <c r="T27"/>
    </row>
    <row r="28" spans="1:20" ht="65.099999999999994" customHeight="1" x14ac:dyDescent="0.25">
      <c r="A28" s="12" t="s">
        <v>1936</v>
      </c>
      <c r="B28" s="12" t="s">
        <v>62</v>
      </c>
      <c r="C28" s="12" t="s">
        <v>63</v>
      </c>
      <c r="D28" s="12" t="s">
        <v>228</v>
      </c>
      <c r="E28" s="12" t="s">
        <v>1883</v>
      </c>
      <c r="F28" s="12" t="s">
        <v>56</v>
      </c>
      <c r="G28" s="12" t="s">
        <v>1937</v>
      </c>
      <c r="H28" s="12"/>
      <c r="I28" s="12" t="s">
        <v>1921</v>
      </c>
      <c r="J28" s="12"/>
      <c r="K28" s="45">
        <v>44419</v>
      </c>
      <c r="L28" s="45">
        <v>44355</v>
      </c>
      <c r="M28" s="45">
        <v>44371</v>
      </c>
      <c r="N28" s="12" t="s">
        <v>59</v>
      </c>
      <c r="O28" s="12" t="s">
        <v>60</v>
      </c>
      <c r="P28" s="12"/>
      <c r="Q28" s="12"/>
      <c r="R28" s="12" t="s">
        <v>1938</v>
      </c>
      <c r="S28" s="12" t="s">
        <v>1890</v>
      </c>
      <c r="T28"/>
    </row>
    <row r="29" spans="1:20" ht="129.94999999999999" customHeight="1" x14ac:dyDescent="0.25">
      <c r="A29" s="12" t="s">
        <v>1939</v>
      </c>
      <c r="B29" s="12" t="s">
        <v>62</v>
      </c>
      <c r="C29" s="12" t="s">
        <v>63</v>
      </c>
      <c r="D29" s="12" t="s">
        <v>252</v>
      </c>
      <c r="E29" s="12" t="s">
        <v>1883</v>
      </c>
      <c r="F29" s="12" t="s">
        <v>56</v>
      </c>
      <c r="G29" s="12" t="s">
        <v>1940</v>
      </c>
      <c r="H29" s="12" t="s">
        <v>1941</v>
      </c>
      <c r="I29" s="12"/>
      <c r="J29" s="12" t="s">
        <v>1885</v>
      </c>
      <c r="K29" s="45">
        <v>45657</v>
      </c>
      <c r="L29" s="45">
        <v>45587</v>
      </c>
      <c r="M29" s="45">
        <v>45589</v>
      </c>
      <c r="N29" s="12" t="s">
        <v>59</v>
      </c>
      <c r="O29" s="12" t="s">
        <v>60</v>
      </c>
      <c r="P29" s="12"/>
      <c r="Q29" s="12"/>
      <c r="R29" s="12" t="s">
        <v>1942</v>
      </c>
      <c r="S29" s="12"/>
      <c r="T29"/>
    </row>
    <row r="30" spans="1:20" ht="51.95" customHeight="1" x14ac:dyDescent="0.25">
      <c r="A30" s="12" t="s">
        <v>1943</v>
      </c>
      <c r="B30" s="12" t="s">
        <v>65</v>
      </c>
      <c r="C30" s="12" t="s">
        <v>66</v>
      </c>
      <c r="D30" s="12" t="s">
        <v>126</v>
      </c>
      <c r="E30" s="12" t="s">
        <v>1862</v>
      </c>
      <c r="F30" s="12" t="s">
        <v>56</v>
      </c>
      <c r="G30" s="12" t="s">
        <v>1863</v>
      </c>
      <c r="H30" s="12"/>
      <c r="I30" s="12"/>
      <c r="J30" s="12"/>
      <c r="K30" s="45">
        <v>42802</v>
      </c>
      <c r="L30" s="45">
        <v>42802</v>
      </c>
      <c r="M30" s="45">
        <v>42802</v>
      </c>
      <c r="N30" s="12" t="s">
        <v>91</v>
      </c>
      <c r="O30" s="12" t="s">
        <v>60</v>
      </c>
      <c r="P30" s="12"/>
      <c r="Q30" s="12"/>
      <c r="R30" s="12" t="s">
        <v>1864</v>
      </c>
      <c r="S30" s="12"/>
      <c r="T30"/>
    </row>
    <row r="31" spans="1:20" ht="104.1" customHeight="1" x14ac:dyDescent="0.25">
      <c r="A31" s="12" t="s">
        <v>1944</v>
      </c>
      <c r="B31" s="12" t="s">
        <v>65</v>
      </c>
      <c r="C31" s="12" t="s">
        <v>66</v>
      </c>
      <c r="D31" s="12" t="s">
        <v>224</v>
      </c>
      <c r="E31" s="12" t="s">
        <v>1862</v>
      </c>
      <c r="F31" s="12" t="s">
        <v>212</v>
      </c>
      <c r="G31" s="12" t="s">
        <v>1945</v>
      </c>
      <c r="H31" s="12"/>
      <c r="I31" s="12"/>
      <c r="J31" s="12" t="s">
        <v>1381</v>
      </c>
      <c r="K31" s="45">
        <v>44770</v>
      </c>
      <c r="L31" s="45">
        <v>44770</v>
      </c>
      <c r="M31" s="45">
        <v>44774</v>
      </c>
      <c r="N31" s="12" t="s">
        <v>59</v>
      </c>
      <c r="O31" s="12" t="s">
        <v>60</v>
      </c>
      <c r="P31" s="12"/>
      <c r="Q31" s="12"/>
      <c r="R31" s="12" t="s">
        <v>1900</v>
      </c>
      <c r="S31" s="12" t="s">
        <v>1946</v>
      </c>
      <c r="T31"/>
    </row>
    <row r="32" spans="1:20" ht="65.099999999999994" customHeight="1" x14ac:dyDescent="0.25">
      <c r="A32" s="12" t="s">
        <v>1947</v>
      </c>
      <c r="B32" s="12" t="s">
        <v>65</v>
      </c>
      <c r="C32" s="12" t="s">
        <v>66</v>
      </c>
      <c r="D32" s="12" t="s">
        <v>252</v>
      </c>
      <c r="E32" s="12" t="s">
        <v>1862</v>
      </c>
      <c r="F32" s="12" t="s">
        <v>212</v>
      </c>
      <c r="G32" s="12" t="s">
        <v>1948</v>
      </c>
      <c r="H32" s="12"/>
      <c r="I32" s="12"/>
      <c r="J32" s="12" t="s">
        <v>915</v>
      </c>
      <c r="K32" s="45">
        <v>45337</v>
      </c>
      <c r="L32" s="45">
        <v>45337</v>
      </c>
      <c r="M32" s="45">
        <v>45420</v>
      </c>
      <c r="N32" s="12" t="s">
        <v>59</v>
      </c>
      <c r="O32" s="12" t="s">
        <v>60</v>
      </c>
      <c r="P32" s="12"/>
      <c r="Q32" s="12"/>
      <c r="R32" s="12" t="s">
        <v>1886</v>
      </c>
      <c r="S32" s="12" t="s">
        <v>1949</v>
      </c>
      <c r="T32"/>
    </row>
    <row r="33" spans="1:20" ht="65.099999999999994" customHeight="1" x14ac:dyDescent="0.25">
      <c r="A33" s="12" t="s">
        <v>1950</v>
      </c>
      <c r="B33" s="12" t="s">
        <v>65</v>
      </c>
      <c r="C33" s="12" t="s">
        <v>66</v>
      </c>
      <c r="D33" s="12" t="s">
        <v>126</v>
      </c>
      <c r="E33" s="12" t="s">
        <v>1862</v>
      </c>
      <c r="F33" s="12" t="s">
        <v>56</v>
      </c>
      <c r="G33" s="12" t="s">
        <v>1879</v>
      </c>
      <c r="H33" s="12"/>
      <c r="I33" s="12"/>
      <c r="J33" s="12" t="s">
        <v>1867</v>
      </c>
      <c r="K33" s="45">
        <v>42605</v>
      </c>
      <c r="L33" s="45">
        <v>42605</v>
      </c>
      <c r="M33" s="45">
        <v>42605</v>
      </c>
      <c r="N33" s="12" t="s">
        <v>91</v>
      </c>
      <c r="O33" s="12" t="s">
        <v>60</v>
      </c>
      <c r="P33" s="12"/>
      <c r="Q33" s="12"/>
      <c r="R33" s="12" t="s">
        <v>1881</v>
      </c>
      <c r="S33" s="12"/>
      <c r="T33"/>
    </row>
    <row r="34" spans="1:20" ht="78" customHeight="1" x14ac:dyDescent="0.25">
      <c r="A34" s="12" t="s">
        <v>1951</v>
      </c>
      <c r="B34" s="12" t="s">
        <v>65</v>
      </c>
      <c r="C34" s="12" t="s">
        <v>66</v>
      </c>
      <c r="D34" s="12" t="s">
        <v>252</v>
      </c>
      <c r="E34" s="12" t="s">
        <v>1862</v>
      </c>
      <c r="F34" s="12" t="s">
        <v>56</v>
      </c>
      <c r="G34" s="12" t="s">
        <v>1952</v>
      </c>
      <c r="H34" s="12"/>
      <c r="I34" s="12"/>
      <c r="J34" s="12" t="s">
        <v>915</v>
      </c>
      <c r="K34" s="45">
        <v>45337</v>
      </c>
      <c r="L34" s="45">
        <v>45337</v>
      </c>
      <c r="M34" s="45">
        <v>45420</v>
      </c>
      <c r="N34" s="12" t="s">
        <v>59</v>
      </c>
      <c r="O34" s="12" t="s">
        <v>60</v>
      </c>
      <c r="P34" s="12"/>
      <c r="Q34" s="12"/>
      <c r="R34" s="12" t="s">
        <v>1953</v>
      </c>
      <c r="S34" s="12" t="s">
        <v>1949</v>
      </c>
      <c r="T34"/>
    </row>
    <row r="35" spans="1:20" ht="39" customHeight="1" x14ac:dyDescent="0.25">
      <c r="A35" s="12" t="s">
        <v>1954</v>
      </c>
      <c r="B35" s="12" t="s">
        <v>65</v>
      </c>
      <c r="C35" s="12" t="s">
        <v>66</v>
      </c>
      <c r="D35" s="12" t="s">
        <v>224</v>
      </c>
      <c r="E35" s="12" t="s">
        <v>1862</v>
      </c>
      <c r="F35" s="12" t="s">
        <v>56</v>
      </c>
      <c r="G35" s="12" t="s">
        <v>1955</v>
      </c>
      <c r="H35" s="12"/>
      <c r="I35" s="12"/>
      <c r="J35" s="12" t="s">
        <v>1381</v>
      </c>
      <c r="K35" s="45">
        <v>44770</v>
      </c>
      <c r="L35" s="45">
        <v>44770</v>
      </c>
      <c r="M35" s="45">
        <v>44774</v>
      </c>
      <c r="N35" s="12" t="s">
        <v>59</v>
      </c>
      <c r="O35" s="12" t="s">
        <v>60</v>
      </c>
      <c r="P35" s="12"/>
      <c r="Q35" s="12"/>
      <c r="R35" s="12" t="s">
        <v>1956</v>
      </c>
      <c r="S35" s="12" t="s">
        <v>1946</v>
      </c>
      <c r="T35"/>
    </row>
    <row r="36" spans="1:20" ht="65.099999999999994" customHeight="1" x14ac:dyDescent="0.25">
      <c r="A36" s="12" t="s">
        <v>1957</v>
      </c>
      <c r="B36" s="12" t="s">
        <v>65</v>
      </c>
      <c r="C36" s="12" t="s">
        <v>66</v>
      </c>
      <c r="D36" s="12" t="s">
        <v>224</v>
      </c>
      <c r="E36" s="12" t="s">
        <v>1862</v>
      </c>
      <c r="F36" s="12" t="s">
        <v>56</v>
      </c>
      <c r="G36" s="12" t="s">
        <v>1958</v>
      </c>
      <c r="H36" s="12"/>
      <c r="I36" s="12"/>
      <c r="J36" s="12" t="s">
        <v>1381</v>
      </c>
      <c r="K36" s="45">
        <v>44770</v>
      </c>
      <c r="L36" s="45">
        <v>44770</v>
      </c>
      <c r="M36" s="45">
        <v>44774</v>
      </c>
      <c r="N36" s="12" t="s">
        <v>59</v>
      </c>
      <c r="O36" s="12" t="s">
        <v>60</v>
      </c>
      <c r="P36" s="12"/>
      <c r="Q36" s="12"/>
      <c r="R36" s="12" t="s">
        <v>1922</v>
      </c>
      <c r="S36" s="12" t="s">
        <v>1946</v>
      </c>
      <c r="T36"/>
    </row>
    <row r="37" spans="1:20" ht="39" customHeight="1" x14ac:dyDescent="0.25">
      <c r="A37" s="12" t="s">
        <v>1959</v>
      </c>
      <c r="B37" s="12" t="s">
        <v>65</v>
      </c>
      <c r="C37" s="12" t="s">
        <v>66</v>
      </c>
      <c r="D37" s="12" t="s">
        <v>252</v>
      </c>
      <c r="E37" s="12" t="s">
        <v>1862</v>
      </c>
      <c r="F37" s="12" t="s">
        <v>56</v>
      </c>
      <c r="G37" s="12" t="s">
        <v>1960</v>
      </c>
      <c r="H37" s="12"/>
      <c r="I37" s="12"/>
      <c r="J37" s="12" t="s">
        <v>915</v>
      </c>
      <c r="K37" s="45">
        <v>45337</v>
      </c>
      <c r="L37" s="45">
        <v>45337</v>
      </c>
      <c r="M37" s="45">
        <v>45420</v>
      </c>
      <c r="N37" s="12" t="s">
        <v>59</v>
      </c>
      <c r="O37" s="12" t="s">
        <v>60</v>
      </c>
      <c r="P37" s="12"/>
      <c r="Q37" s="12"/>
      <c r="R37" s="12" t="s">
        <v>1932</v>
      </c>
      <c r="S37" s="12" t="s">
        <v>1949</v>
      </c>
      <c r="T37"/>
    </row>
    <row r="38" spans="1:20" ht="117" customHeight="1" x14ac:dyDescent="0.25">
      <c r="A38" s="12" t="s">
        <v>1961</v>
      </c>
      <c r="B38" s="12" t="s">
        <v>65</v>
      </c>
      <c r="C38" s="12" t="s">
        <v>66</v>
      </c>
      <c r="D38" s="12" t="s">
        <v>252</v>
      </c>
      <c r="E38" s="12" t="s">
        <v>1862</v>
      </c>
      <c r="F38" s="12" t="s">
        <v>56</v>
      </c>
      <c r="G38" s="12" t="s">
        <v>1962</v>
      </c>
      <c r="H38" s="12"/>
      <c r="I38" s="12"/>
      <c r="J38" s="12" t="s">
        <v>915</v>
      </c>
      <c r="K38" s="45">
        <v>45337</v>
      </c>
      <c r="L38" s="45">
        <v>45337</v>
      </c>
      <c r="M38" s="45">
        <v>45420</v>
      </c>
      <c r="N38" s="12" t="s">
        <v>59</v>
      </c>
      <c r="O38" s="12" t="s">
        <v>60</v>
      </c>
      <c r="P38" s="12"/>
      <c r="Q38" s="12"/>
      <c r="R38" s="12" t="s">
        <v>1963</v>
      </c>
      <c r="S38" s="12" t="s">
        <v>1949</v>
      </c>
      <c r="T38"/>
    </row>
    <row r="39" spans="1:20" ht="65.099999999999994" customHeight="1" x14ac:dyDescent="0.25">
      <c r="A39" s="12" t="s">
        <v>1964</v>
      </c>
      <c r="B39" s="12" t="s">
        <v>65</v>
      </c>
      <c r="C39" s="12" t="s">
        <v>66</v>
      </c>
      <c r="D39" s="12" t="s">
        <v>252</v>
      </c>
      <c r="E39" s="12" t="s">
        <v>1862</v>
      </c>
      <c r="F39" s="12" t="s">
        <v>56</v>
      </c>
      <c r="G39" s="12" t="s">
        <v>1965</v>
      </c>
      <c r="H39" s="12"/>
      <c r="I39" s="12"/>
      <c r="J39" s="12" t="s">
        <v>1867</v>
      </c>
      <c r="K39" s="45">
        <v>45337</v>
      </c>
      <c r="L39" s="45">
        <v>45337</v>
      </c>
      <c r="M39" s="45">
        <v>45420</v>
      </c>
      <c r="N39" s="12" t="s">
        <v>59</v>
      </c>
      <c r="O39" s="12" t="s">
        <v>60</v>
      </c>
      <c r="P39" s="12"/>
      <c r="Q39" s="12"/>
      <c r="R39" s="12" t="s">
        <v>1918</v>
      </c>
      <c r="S39" s="12" t="s">
        <v>1949</v>
      </c>
      <c r="T39"/>
    </row>
    <row r="40" spans="1:20" ht="78" customHeight="1" x14ac:dyDescent="0.25">
      <c r="A40" s="12" t="s">
        <v>1966</v>
      </c>
      <c r="B40" s="12" t="s">
        <v>65</v>
      </c>
      <c r="C40" s="12" t="s">
        <v>66</v>
      </c>
      <c r="D40" s="12" t="s">
        <v>252</v>
      </c>
      <c r="E40" s="12" t="s">
        <v>1862</v>
      </c>
      <c r="F40" s="12" t="s">
        <v>56</v>
      </c>
      <c r="G40" s="12" t="s">
        <v>1967</v>
      </c>
      <c r="H40" s="12"/>
      <c r="I40" s="12"/>
      <c r="J40" s="12" t="s">
        <v>1867</v>
      </c>
      <c r="K40" s="45">
        <v>45337</v>
      </c>
      <c r="L40" s="45">
        <v>45337</v>
      </c>
      <c r="M40" s="45">
        <v>45420</v>
      </c>
      <c r="N40" s="12" t="s">
        <v>59</v>
      </c>
      <c r="O40" s="12" t="s">
        <v>60</v>
      </c>
      <c r="P40" s="12"/>
      <c r="Q40" s="12"/>
      <c r="R40" s="12" t="s">
        <v>1968</v>
      </c>
      <c r="S40" s="12" t="s">
        <v>1949</v>
      </c>
      <c r="T40"/>
    </row>
    <row r="41" spans="1:20" ht="90.95" customHeight="1" x14ac:dyDescent="0.25">
      <c r="A41" s="12" t="s">
        <v>1969</v>
      </c>
      <c r="B41" s="12" t="s">
        <v>65</v>
      </c>
      <c r="C41" s="12" t="s">
        <v>66</v>
      </c>
      <c r="D41" s="12" t="s">
        <v>224</v>
      </c>
      <c r="E41" s="12" t="s">
        <v>1862</v>
      </c>
      <c r="F41" s="12" t="s">
        <v>212</v>
      </c>
      <c r="G41" s="12" t="s">
        <v>1970</v>
      </c>
      <c r="H41" s="12"/>
      <c r="I41" s="12"/>
      <c r="J41" s="12" t="s">
        <v>1381</v>
      </c>
      <c r="K41" s="45">
        <v>44770</v>
      </c>
      <c r="L41" s="45">
        <v>44770</v>
      </c>
      <c r="M41" s="45">
        <v>44774</v>
      </c>
      <c r="N41" s="12" t="s">
        <v>59</v>
      </c>
      <c r="O41" s="12" t="s">
        <v>60</v>
      </c>
      <c r="P41" s="12"/>
      <c r="Q41" s="12"/>
      <c r="R41" s="12" t="s">
        <v>1938</v>
      </c>
      <c r="S41" s="12" t="s">
        <v>1946</v>
      </c>
      <c r="T41"/>
    </row>
    <row r="42" spans="1:20" ht="117" customHeight="1" x14ac:dyDescent="0.25">
      <c r="A42" s="12" t="s">
        <v>1971</v>
      </c>
      <c r="B42" s="12" t="s">
        <v>65</v>
      </c>
      <c r="C42" s="12" t="s">
        <v>66</v>
      </c>
      <c r="D42" s="12" t="s">
        <v>224</v>
      </c>
      <c r="E42" s="12" t="s">
        <v>1862</v>
      </c>
      <c r="F42" s="12" t="s">
        <v>1167</v>
      </c>
      <c r="G42" s="12" t="s">
        <v>1972</v>
      </c>
      <c r="H42" s="12"/>
      <c r="I42" s="12"/>
      <c r="J42" s="12" t="s">
        <v>1381</v>
      </c>
      <c r="K42" s="45">
        <v>44770</v>
      </c>
      <c r="L42" s="45">
        <v>44770</v>
      </c>
      <c r="M42" s="45">
        <v>44774</v>
      </c>
      <c r="N42" s="12" t="s">
        <v>59</v>
      </c>
      <c r="O42" s="12" t="s">
        <v>60</v>
      </c>
      <c r="P42" s="12"/>
      <c r="Q42" s="12"/>
      <c r="R42" s="12" t="s">
        <v>1868</v>
      </c>
      <c r="S42" s="12" t="s">
        <v>1946</v>
      </c>
      <c r="T42"/>
    </row>
    <row r="43" spans="1:20" ht="117" customHeight="1" x14ac:dyDescent="0.25">
      <c r="A43" s="12" t="s">
        <v>1973</v>
      </c>
      <c r="B43" s="12" t="s">
        <v>65</v>
      </c>
      <c r="C43" s="12" t="s">
        <v>66</v>
      </c>
      <c r="D43" s="12" t="s">
        <v>252</v>
      </c>
      <c r="E43" s="12" t="s">
        <v>1862</v>
      </c>
      <c r="F43" s="12" t="s">
        <v>56</v>
      </c>
      <c r="G43" s="12" t="s">
        <v>1974</v>
      </c>
      <c r="H43" s="12"/>
      <c r="I43" s="12"/>
      <c r="J43" s="12" t="s">
        <v>1867</v>
      </c>
      <c r="K43" s="45">
        <v>45337</v>
      </c>
      <c r="L43" s="45">
        <v>45337</v>
      </c>
      <c r="M43" s="45">
        <v>45420</v>
      </c>
      <c r="N43" s="12" t="s">
        <v>59</v>
      </c>
      <c r="O43" s="12" t="s">
        <v>60</v>
      </c>
      <c r="P43" s="12"/>
      <c r="Q43" s="12"/>
      <c r="R43" s="12" t="s">
        <v>1975</v>
      </c>
      <c r="S43" s="12" t="s">
        <v>1949</v>
      </c>
      <c r="T43"/>
    </row>
    <row r="44" spans="1:20" ht="117" customHeight="1" x14ac:dyDescent="0.25">
      <c r="A44" s="12" t="s">
        <v>1976</v>
      </c>
      <c r="B44" s="12" t="s">
        <v>65</v>
      </c>
      <c r="C44" s="12" t="s">
        <v>66</v>
      </c>
      <c r="D44" s="12" t="s">
        <v>252</v>
      </c>
      <c r="E44" s="12" t="s">
        <v>1862</v>
      </c>
      <c r="F44" s="12" t="s">
        <v>212</v>
      </c>
      <c r="G44" s="12" t="s">
        <v>1977</v>
      </c>
      <c r="H44" s="12"/>
      <c r="I44" s="12"/>
      <c r="J44" s="12" t="s">
        <v>915</v>
      </c>
      <c r="K44" s="45">
        <v>45337</v>
      </c>
      <c r="L44" s="45">
        <v>45337</v>
      </c>
      <c r="M44" s="45">
        <v>45420</v>
      </c>
      <c r="N44" s="12" t="s">
        <v>59</v>
      </c>
      <c r="O44" s="12" t="s">
        <v>60</v>
      </c>
      <c r="P44" s="12"/>
      <c r="Q44" s="12"/>
      <c r="R44" s="12" t="s">
        <v>1978</v>
      </c>
      <c r="S44" s="12" t="s">
        <v>1949</v>
      </c>
      <c r="T44"/>
    </row>
    <row r="45" spans="1:20" ht="117" customHeight="1" x14ac:dyDescent="0.25">
      <c r="A45" s="12" t="s">
        <v>1979</v>
      </c>
      <c r="B45" s="12" t="s">
        <v>65</v>
      </c>
      <c r="C45" s="12" t="s">
        <v>66</v>
      </c>
      <c r="D45" s="12" t="s">
        <v>224</v>
      </c>
      <c r="E45" s="12" t="s">
        <v>1862</v>
      </c>
      <c r="F45" s="12" t="s">
        <v>212</v>
      </c>
      <c r="G45" s="12" t="s">
        <v>1980</v>
      </c>
      <c r="H45" s="12"/>
      <c r="I45" s="12"/>
      <c r="J45" s="12" t="s">
        <v>1381</v>
      </c>
      <c r="K45" s="45">
        <v>44770</v>
      </c>
      <c r="L45" s="45">
        <v>44770</v>
      </c>
      <c r="M45" s="45">
        <v>44774</v>
      </c>
      <c r="N45" s="12" t="s">
        <v>59</v>
      </c>
      <c r="O45" s="12" t="s">
        <v>60</v>
      </c>
      <c r="P45" s="12"/>
      <c r="Q45" s="12"/>
      <c r="R45" s="12" t="s">
        <v>1981</v>
      </c>
      <c r="S45" s="12" t="s">
        <v>1946</v>
      </c>
      <c r="T45"/>
    </row>
    <row r="46" spans="1:20" ht="65.099999999999994" customHeight="1" x14ac:dyDescent="0.25">
      <c r="A46" s="12" t="s">
        <v>1982</v>
      </c>
      <c r="B46" s="12" t="s">
        <v>65</v>
      </c>
      <c r="C46" s="12" t="s">
        <v>66</v>
      </c>
      <c r="D46" s="12" t="s">
        <v>224</v>
      </c>
      <c r="E46" s="12" t="s">
        <v>1862</v>
      </c>
      <c r="F46" s="12" t="s">
        <v>56</v>
      </c>
      <c r="G46" s="12" t="s">
        <v>1983</v>
      </c>
      <c r="H46" s="12"/>
      <c r="I46" s="12"/>
      <c r="J46" s="12" t="s">
        <v>1381</v>
      </c>
      <c r="K46" s="45">
        <v>44770</v>
      </c>
      <c r="L46" s="45">
        <v>44770</v>
      </c>
      <c r="M46" s="45">
        <v>44774</v>
      </c>
      <c r="N46" s="12" t="s">
        <v>59</v>
      </c>
      <c r="O46" s="12" t="s">
        <v>60</v>
      </c>
      <c r="P46" s="12"/>
      <c r="Q46" s="12"/>
      <c r="R46" s="12" t="s">
        <v>1904</v>
      </c>
      <c r="S46" s="12" t="s">
        <v>1946</v>
      </c>
      <c r="T46"/>
    </row>
    <row r="47" spans="1:20" ht="90.95" customHeight="1" x14ac:dyDescent="0.25">
      <c r="A47" s="12" t="s">
        <v>1984</v>
      </c>
      <c r="B47" s="12" t="s">
        <v>65</v>
      </c>
      <c r="C47" s="12" t="s">
        <v>66</v>
      </c>
      <c r="D47" s="12" t="s">
        <v>224</v>
      </c>
      <c r="E47" s="12" t="s">
        <v>1862</v>
      </c>
      <c r="F47" s="12" t="s">
        <v>212</v>
      </c>
      <c r="G47" s="12" t="s">
        <v>1985</v>
      </c>
      <c r="H47" s="12"/>
      <c r="I47" s="12"/>
      <c r="J47" s="12" t="s">
        <v>1381</v>
      </c>
      <c r="K47" s="45">
        <v>44770</v>
      </c>
      <c r="L47" s="45">
        <v>44770</v>
      </c>
      <c r="M47" s="45">
        <v>44774</v>
      </c>
      <c r="N47" s="12" t="s">
        <v>59</v>
      </c>
      <c r="O47" s="12" t="s">
        <v>60</v>
      </c>
      <c r="P47" s="12"/>
      <c r="Q47" s="12"/>
      <c r="R47" s="12" t="s">
        <v>1986</v>
      </c>
      <c r="S47" s="12" t="s">
        <v>1946</v>
      </c>
      <c r="T47"/>
    </row>
    <row r="48" spans="1:20" ht="78" customHeight="1" x14ac:dyDescent="0.25">
      <c r="A48" s="12" t="s">
        <v>1987</v>
      </c>
      <c r="B48" s="12" t="s">
        <v>65</v>
      </c>
      <c r="C48" s="12" t="s">
        <v>66</v>
      </c>
      <c r="D48" s="12" t="s">
        <v>224</v>
      </c>
      <c r="E48" s="12" t="s">
        <v>1862</v>
      </c>
      <c r="F48" s="12" t="s">
        <v>56</v>
      </c>
      <c r="G48" s="12" t="s">
        <v>1988</v>
      </c>
      <c r="H48" s="12"/>
      <c r="I48" s="12"/>
      <c r="J48" s="12" t="s">
        <v>1381</v>
      </c>
      <c r="K48" s="45">
        <v>44770</v>
      </c>
      <c r="L48" s="45">
        <v>44770</v>
      </c>
      <c r="M48" s="45">
        <v>44774</v>
      </c>
      <c r="N48" s="12" t="s">
        <v>59</v>
      </c>
      <c r="O48" s="12" t="s">
        <v>60</v>
      </c>
      <c r="P48" s="12"/>
      <c r="Q48" s="12"/>
      <c r="R48" s="12" t="s">
        <v>1894</v>
      </c>
      <c r="S48" s="12" t="s">
        <v>1946</v>
      </c>
      <c r="T48"/>
    </row>
    <row r="49" spans="1:20" ht="65.099999999999994" customHeight="1" x14ac:dyDescent="0.25">
      <c r="A49" s="12" t="s">
        <v>1989</v>
      </c>
      <c r="B49" s="12" t="s">
        <v>71</v>
      </c>
      <c r="C49" s="12" t="s">
        <v>72</v>
      </c>
      <c r="D49" s="12" t="s">
        <v>252</v>
      </c>
      <c r="E49" s="12" t="s">
        <v>1862</v>
      </c>
      <c r="F49" s="12" t="s">
        <v>56</v>
      </c>
      <c r="G49" s="12" t="s">
        <v>1990</v>
      </c>
      <c r="H49" s="12"/>
      <c r="I49" s="12"/>
      <c r="J49" s="12" t="s">
        <v>915</v>
      </c>
      <c r="K49" s="45">
        <v>45498</v>
      </c>
      <c r="L49" s="45">
        <v>45496</v>
      </c>
      <c r="M49" s="45">
        <v>45498</v>
      </c>
      <c r="N49" s="12" t="s">
        <v>59</v>
      </c>
      <c r="O49" s="12" t="s">
        <v>60</v>
      </c>
      <c r="P49" s="12"/>
      <c r="Q49" s="12"/>
      <c r="R49" s="12" t="s">
        <v>1932</v>
      </c>
      <c r="S49" s="12" t="s">
        <v>1991</v>
      </c>
      <c r="T49"/>
    </row>
    <row r="50" spans="1:20" ht="39" customHeight="1" x14ac:dyDescent="0.25">
      <c r="A50" s="12" t="s">
        <v>1992</v>
      </c>
      <c r="B50" s="12" t="s">
        <v>71</v>
      </c>
      <c r="C50" s="12" t="s">
        <v>72</v>
      </c>
      <c r="D50" s="12" t="s">
        <v>55</v>
      </c>
      <c r="E50" s="12" t="s">
        <v>1883</v>
      </c>
      <c r="F50" s="12" t="s">
        <v>56</v>
      </c>
      <c r="G50" s="12" t="s">
        <v>1934</v>
      </c>
      <c r="H50" s="12" t="s">
        <v>1935</v>
      </c>
      <c r="I50" s="12"/>
      <c r="J50" s="12" t="s">
        <v>1867</v>
      </c>
      <c r="K50" s="45">
        <v>43232</v>
      </c>
      <c r="L50" s="45">
        <v>43216</v>
      </c>
      <c r="M50" s="45">
        <v>43227</v>
      </c>
      <c r="N50" s="12" t="s">
        <v>91</v>
      </c>
      <c r="O50" s="12" t="s">
        <v>60</v>
      </c>
      <c r="P50" s="12"/>
      <c r="Q50" s="12"/>
      <c r="R50" s="12" t="s">
        <v>1871</v>
      </c>
      <c r="S50" s="12" t="s">
        <v>1991</v>
      </c>
      <c r="T50"/>
    </row>
    <row r="51" spans="1:20" ht="26.1" customHeight="1" x14ac:dyDescent="0.25">
      <c r="A51" s="12" t="s">
        <v>1993</v>
      </c>
      <c r="B51" s="12" t="s">
        <v>71</v>
      </c>
      <c r="C51" s="12" t="s">
        <v>72</v>
      </c>
      <c r="D51" s="12" t="s">
        <v>83</v>
      </c>
      <c r="E51" s="12" t="s">
        <v>1883</v>
      </c>
      <c r="F51" s="12" t="s">
        <v>56</v>
      </c>
      <c r="G51" s="12" t="s">
        <v>1994</v>
      </c>
      <c r="H51" s="12" t="s">
        <v>1995</v>
      </c>
      <c r="I51" s="12"/>
      <c r="J51" s="12" t="s">
        <v>1880</v>
      </c>
      <c r="K51" s="45">
        <v>42949</v>
      </c>
      <c r="L51" s="45">
        <v>42933</v>
      </c>
      <c r="M51" s="45">
        <v>42944</v>
      </c>
      <c r="N51" s="12" t="s">
        <v>91</v>
      </c>
      <c r="O51" s="12" t="s">
        <v>60</v>
      </c>
      <c r="P51" s="12"/>
      <c r="Q51" s="12"/>
      <c r="R51" s="12" t="s">
        <v>1881</v>
      </c>
      <c r="S51" s="12" t="s">
        <v>1991</v>
      </c>
      <c r="T51"/>
    </row>
    <row r="52" spans="1:20" ht="78" customHeight="1" x14ac:dyDescent="0.25">
      <c r="A52" s="12" t="s">
        <v>1996</v>
      </c>
      <c r="B52" s="12" t="s">
        <v>71</v>
      </c>
      <c r="C52" s="12" t="s">
        <v>72</v>
      </c>
      <c r="D52" s="12" t="s">
        <v>252</v>
      </c>
      <c r="E52" s="12" t="s">
        <v>1862</v>
      </c>
      <c r="F52" s="12" t="s">
        <v>1307</v>
      </c>
      <c r="G52" s="12" t="s">
        <v>1997</v>
      </c>
      <c r="H52" s="12"/>
      <c r="I52" s="12"/>
      <c r="J52" s="12" t="s">
        <v>1885</v>
      </c>
      <c r="K52" s="45">
        <v>45586</v>
      </c>
      <c r="L52" s="45">
        <v>45586</v>
      </c>
      <c r="M52" s="45">
        <v>45600</v>
      </c>
      <c r="N52" s="12" t="s">
        <v>59</v>
      </c>
      <c r="O52" s="12" t="s">
        <v>60</v>
      </c>
      <c r="P52" s="12"/>
      <c r="Q52" s="12"/>
      <c r="R52" s="12" t="s">
        <v>1942</v>
      </c>
      <c r="S52" s="12" t="s">
        <v>1991</v>
      </c>
      <c r="T52"/>
    </row>
    <row r="53" spans="1:20" ht="104.1" customHeight="1" x14ac:dyDescent="0.25">
      <c r="A53" s="12" t="s">
        <v>1998</v>
      </c>
      <c r="B53" s="12" t="s">
        <v>71</v>
      </c>
      <c r="C53" s="12" t="s">
        <v>72</v>
      </c>
      <c r="D53" s="12" t="s">
        <v>83</v>
      </c>
      <c r="E53" s="12" t="s">
        <v>1883</v>
      </c>
      <c r="F53" s="12" t="s">
        <v>56</v>
      </c>
      <c r="G53" s="12" t="s">
        <v>1999</v>
      </c>
      <c r="H53" s="12" t="s">
        <v>2000</v>
      </c>
      <c r="I53" s="12"/>
      <c r="J53" s="12" t="s">
        <v>2001</v>
      </c>
      <c r="K53" s="45">
        <v>42949</v>
      </c>
      <c r="L53" s="45">
        <v>42933</v>
      </c>
      <c r="M53" s="45">
        <v>42944</v>
      </c>
      <c r="N53" s="12" t="s">
        <v>91</v>
      </c>
      <c r="O53" s="12" t="s">
        <v>60</v>
      </c>
      <c r="P53" s="12"/>
      <c r="Q53" s="12"/>
      <c r="R53" s="12" t="s">
        <v>1864</v>
      </c>
      <c r="S53" s="12" t="s">
        <v>1991</v>
      </c>
      <c r="T53"/>
    </row>
    <row r="54" spans="1:20" ht="39" customHeight="1" x14ac:dyDescent="0.25">
      <c r="A54" s="12" t="s">
        <v>2002</v>
      </c>
      <c r="B54" s="12" t="s">
        <v>71</v>
      </c>
      <c r="C54" s="12" t="s">
        <v>72</v>
      </c>
      <c r="D54" s="12" t="s">
        <v>228</v>
      </c>
      <c r="E54" s="12" t="s">
        <v>1862</v>
      </c>
      <c r="F54" s="12" t="s">
        <v>212</v>
      </c>
      <c r="G54" s="12" t="s">
        <v>2003</v>
      </c>
      <c r="H54" s="12"/>
      <c r="I54" s="12"/>
      <c r="J54" s="12"/>
      <c r="K54" s="45">
        <v>44372</v>
      </c>
      <c r="L54" s="45">
        <v>44372</v>
      </c>
      <c r="M54" s="45">
        <v>44386</v>
      </c>
      <c r="N54" s="12" t="s">
        <v>59</v>
      </c>
      <c r="O54" s="12" t="s">
        <v>60</v>
      </c>
      <c r="P54" s="12"/>
      <c r="Q54" s="12"/>
      <c r="R54" s="12" t="s">
        <v>1894</v>
      </c>
      <c r="S54" s="12" t="s">
        <v>1991</v>
      </c>
      <c r="T54"/>
    </row>
    <row r="55" spans="1:20" ht="104.1" customHeight="1" x14ac:dyDescent="0.25">
      <c r="A55" s="12" t="s">
        <v>2004</v>
      </c>
      <c r="B55" s="12" t="s">
        <v>71</v>
      </c>
      <c r="C55" s="12" t="s">
        <v>72</v>
      </c>
      <c r="D55" s="12" t="s">
        <v>224</v>
      </c>
      <c r="E55" s="12" t="s">
        <v>1862</v>
      </c>
      <c r="F55" s="12" t="s">
        <v>212</v>
      </c>
      <c r="G55" s="12" t="s">
        <v>2005</v>
      </c>
      <c r="H55" s="12"/>
      <c r="I55" s="12"/>
      <c r="J55" s="12" t="s">
        <v>1381</v>
      </c>
      <c r="K55" s="45">
        <v>44817</v>
      </c>
      <c r="L55" s="45">
        <v>44817</v>
      </c>
      <c r="M55" s="45">
        <v>44819</v>
      </c>
      <c r="N55" s="12" t="s">
        <v>59</v>
      </c>
      <c r="O55" s="12" t="s">
        <v>60</v>
      </c>
      <c r="P55" s="12"/>
      <c r="Q55" s="12"/>
      <c r="R55" s="12" t="s">
        <v>1910</v>
      </c>
      <c r="S55" s="12" t="s">
        <v>1991</v>
      </c>
      <c r="T55"/>
    </row>
    <row r="56" spans="1:20" ht="65.099999999999994" customHeight="1" x14ac:dyDescent="0.25">
      <c r="A56" s="12" t="s">
        <v>2006</v>
      </c>
      <c r="B56" s="12" t="s">
        <v>71</v>
      </c>
      <c r="C56" s="12" t="s">
        <v>72</v>
      </c>
      <c r="D56" s="12" t="s">
        <v>224</v>
      </c>
      <c r="E56" s="12" t="s">
        <v>1862</v>
      </c>
      <c r="F56" s="12" t="s">
        <v>212</v>
      </c>
      <c r="G56" s="12" t="s">
        <v>2007</v>
      </c>
      <c r="H56" s="12"/>
      <c r="I56" s="12"/>
      <c r="J56" s="12" t="s">
        <v>90</v>
      </c>
      <c r="K56" s="45">
        <v>44763</v>
      </c>
      <c r="L56" s="45">
        <v>44763</v>
      </c>
      <c r="M56" s="45">
        <v>44768</v>
      </c>
      <c r="N56" s="12" t="s">
        <v>59</v>
      </c>
      <c r="O56" s="12" t="s">
        <v>60</v>
      </c>
      <c r="P56" s="12"/>
      <c r="Q56" s="12"/>
      <c r="R56" s="12" t="s">
        <v>1900</v>
      </c>
      <c r="S56" s="12" t="s">
        <v>1991</v>
      </c>
      <c r="T56"/>
    </row>
    <row r="57" spans="1:20" ht="90.95" customHeight="1" x14ac:dyDescent="0.25">
      <c r="A57" s="12" t="s">
        <v>2008</v>
      </c>
      <c r="B57" s="12" t="s">
        <v>71</v>
      </c>
      <c r="C57" s="12" t="s">
        <v>72</v>
      </c>
      <c r="D57" s="12" t="s">
        <v>228</v>
      </c>
      <c r="E57" s="12" t="s">
        <v>1862</v>
      </c>
      <c r="F57" s="12" t="s">
        <v>212</v>
      </c>
      <c r="G57" s="12" t="s">
        <v>2009</v>
      </c>
      <c r="H57" s="12"/>
      <c r="I57" s="12"/>
      <c r="J57" s="12"/>
      <c r="K57" s="45">
        <v>44372</v>
      </c>
      <c r="L57" s="45">
        <v>44372</v>
      </c>
      <c r="M57" s="45">
        <v>44386</v>
      </c>
      <c r="N57" s="12" t="s">
        <v>59</v>
      </c>
      <c r="O57" s="12" t="s">
        <v>60</v>
      </c>
      <c r="P57" s="12"/>
      <c r="Q57" s="12"/>
      <c r="R57" s="12" t="s">
        <v>1938</v>
      </c>
      <c r="S57" s="12" t="s">
        <v>1991</v>
      </c>
      <c r="T57"/>
    </row>
    <row r="58" spans="1:20" ht="51.95" customHeight="1" x14ac:dyDescent="0.25">
      <c r="A58" s="12" t="s">
        <v>2010</v>
      </c>
      <c r="B58" s="12" t="s">
        <v>71</v>
      </c>
      <c r="C58" s="12" t="s">
        <v>72</v>
      </c>
      <c r="D58" s="12" t="s">
        <v>228</v>
      </c>
      <c r="E58" s="12" t="s">
        <v>1862</v>
      </c>
      <c r="F58" s="12" t="s">
        <v>56</v>
      </c>
      <c r="G58" s="12" t="s">
        <v>2011</v>
      </c>
      <c r="H58" s="12"/>
      <c r="I58" s="12"/>
      <c r="J58" s="12"/>
      <c r="K58" s="45">
        <v>44372</v>
      </c>
      <c r="L58" s="45">
        <v>44372</v>
      </c>
      <c r="M58" s="45">
        <v>44383</v>
      </c>
      <c r="N58" s="12" t="s">
        <v>59</v>
      </c>
      <c r="O58" s="12" t="s">
        <v>60</v>
      </c>
      <c r="P58" s="12"/>
      <c r="Q58" s="12"/>
      <c r="R58" s="12" t="s">
        <v>1904</v>
      </c>
      <c r="S58" s="12" t="s">
        <v>1991</v>
      </c>
      <c r="T58"/>
    </row>
    <row r="59" spans="1:20" ht="51.95" customHeight="1" x14ac:dyDescent="0.25">
      <c r="A59" s="12" t="s">
        <v>2012</v>
      </c>
      <c r="B59" s="12" t="s">
        <v>71</v>
      </c>
      <c r="C59" s="12" t="s">
        <v>72</v>
      </c>
      <c r="D59" s="12" t="s">
        <v>236</v>
      </c>
      <c r="E59" s="12" t="s">
        <v>1862</v>
      </c>
      <c r="F59" s="12" t="s">
        <v>56</v>
      </c>
      <c r="G59" s="12" t="s">
        <v>2013</v>
      </c>
      <c r="H59" s="12"/>
      <c r="I59" s="12"/>
      <c r="J59" s="12" t="s">
        <v>1880</v>
      </c>
      <c r="K59" s="45">
        <v>43644</v>
      </c>
      <c r="L59" s="45">
        <v>43644</v>
      </c>
      <c r="M59" s="45">
        <v>43658</v>
      </c>
      <c r="N59" s="12" t="s">
        <v>59</v>
      </c>
      <c r="O59" s="12" t="s">
        <v>60</v>
      </c>
      <c r="P59" s="12"/>
      <c r="Q59" s="12"/>
      <c r="R59" s="12" t="s">
        <v>1877</v>
      </c>
      <c r="S59" s="12" t="s">
        <v>1991</v>
      </c>
      <c r="T59"/>
    </row>
    <row r="60" spans="1:20" ht="51.95" customHeight="1" x14ac:dyDescent="0.25">
      <c r="A60" s="12" t="s">
        <v>2014</v>
      </c>
      <c r="B60" s="12" t="s">
        <v>71</v>
      </c>
      <c r="C60" s="12" t="s">
        <v>72</v>
      </c>
      <c r="D60" s="12" t="s">
        <v>224</v>
      </c>
      <c r="E60" s="12" t="s">
        <v>1862</v>
      </c>
      <c r="F60" s="12" t="s">
        <v>212</v>
      </c>
      <c r="G60" s="12" t="s">
        <v>2015</v>
      </c>
      <c r="H60" s="12"/>
      <c r="I60" s="12"/>
      <c r="J60" s="12" t="s">
        <v>1381</v>
      </c>
      <c r="K60" s="45">
        <v>44763</v>
      </c>
      <c r="L60" s="45">
        <v>44763</v>
      </c>
      <c r="M60" s="45">
        <v>44768</v>
      </c>
      <c r="N60" s="12" t="s">
        <v>59</v>
      </c>
      <c r="O60" s="12" t="s">
        <v>60</v>
      </c>
      <c r="P60" s="12"/>
      <c r="Q60" s="12"/>
      <c r="R60" s="12"/>
      <c r="S60" s="12" t="s">
        <v>1991</v>
      </c>
      <c r="T60"/>
    </row>
    <row r="61" spans="1:20" ht="78" customHeight="1" x14ac:dyDescent="0.25">
      <c r="A61" s="12" t="s">
        <v>2016</v>
      </c>
      <c r="B61" s="12" t="s">
        <v>71</v>
      </c>
      <c r="C61" s="12" t="s">
        <v>72</v>
      </c>
      <c r="D61" s="12" t="s">
        <v>236</v>
      </c>
      <c r="E61" s="12" t="s">
        <v>1862</v>
      </c>
      <c r="F61" s="12" t="s">
        <v>56</v>
      </c>
      <c r="G61" s="12" t="s">
        <v>2017</v>
      </c>
      <c r="H61" s="12"/>
      <c r="I61" s="12"/>
      <c r="J61" s="12" t="s">
        <v>1880</v>
      </c>
      <c r="K61" s="45">
        <v>43644</v>
      </c>
      <c r="L61" s="45">
        <v>43644</v>
      </c>
      <c r="M61" s="45">
        <v>43658</v>
      </c>
      <c r="N61" s="12" t="s">
        <v>91</v>
      </c>
      <c r="O61" s="12" t="s">
        <v>60</v>
      </c>
      <c r="P61" s="12"/>
      <c r="Q61" s="12"/>
      <c r="R61" s="12" t="s">
        <v>1868</v>
      </c>
      <c r="S61" s="12" t="s">
        <v>1991</v>
      </c>
      <c r="T61"/>
    </row>
    <row r="62" spans="1:20" ht="129.94999999999999" customHeight="1" x14ac:dyDescent="0.25">
      <c r="A62" s="12" t="s">
        <v>2018</v>
      </c>
      <c r="B62" s="12" t="s">
        <v>71</v>
      </c>
      <c r="C62" s="12" t="s">
        <v>72</v>
      </c>
      <c r="D62" s="12" t="s">
        <v>220</v>
      </c>
      <c r="E62" s="12" t="s">
        <v>1862</v>
      </c>
      <c r="F62" s="12" t="s">
        <v>1307</v>
      </c>
      <c r="G62" s="12" t="s">
        <v>2019</v>
      </c>
      <c r="H62" s="12" t="s">
        <v>2020</v>
      </c>
      <c r="I62" s="12"/>
      <c r="J62" s="12" t="s">
        <v>2021</v>
      </c>
      <c r="K62" s="45">
        <v>45254</v>
      </c>
      <c r="L62" s="45">
        <v>45254</v>
      </c>
      <c r="M62" s="45">
        <v>45267</v>
      </c>
      <c r="N62" s="12" t="s">
        <v>59</v>
      </c>
      <c r="O62" s="12" t="s">
        <v>60</v>
      </c>
      <c r="P62" s="12"/>
      <c r="Q62" s="12"/>
      <c r="R62" s="12" t="s">
        <v>1918</v>
      </c>
      <c r="S62" s="12" t="s">
        <v>1991</v>
      </c>
      <c r="T62"/>
    </row>
    <row r="63" spans="1:20" ht="156" customHeight="1" x14ac:dyDescent="0.25">
      <c r="A63" s="12" t="s">
        <v>2022</v>
      </c>
      <c r="B63" s="12" t="s">
        <v>71</v>
      </c>
      <c r="C63" s="12" t="s">
        <v>72</v>
      </c>
      <c r="D63" s="12" t="s">
        <v>228</v>
      </c>
      <c r="E63" s="12" t="s">
        <v>1862</v>
      </c>
      <c r="F63" s="12" t="s">
        <v>212</v>
      </c>
      <c r="G63" s="12" t="s">
        <v>2023</v>
      </c>
      <c r="H63" s="12"/>
      <c r="I63" s="12"/>
      <c r="J63" s="12"/>
      <c r="K63" s="45">
        <v>44372</v>
      </c>
      <c r="L63" s="45">
        <v>44372</v>
      </c>
      <c r="M63" s="45">
        <v>44386</v>
      </c>
      <c r="N63" s="12" t="s">
        <v>59</v>
      </c>
      <c r="O63" s="12" t="s">
        <v>60</v>
      </c>
      <c r="P63" s="12"/>
      <c r="Q63" s="12"/>
      <c r="R63" s="12" t="s">
        <v>1922</v>
      </c>
      <c r="S63" s="12" t="s">
        <v>1991</v>
      </c>
      <c r="T63"/>
    </row>
    <row r="64" spans="1:20" ht="39" customHeight="1" x14ac:dyDescent="0.25">
      <c r="A64" s="12" t="s">
        <v>2024</v>
      </c>
      <c r="B64" s="12" t="s">
        <v>71</v>
      </c>
      <c r="C64" s="12" t="s">
        <v>72</v>
      </c>
      <c r="D64" s="12" t="s">
        <v>252</v>
      </c>
      <c r="E64" s="12" t="s">
        <v>1862</v>
      </c>
      <c r="F64" s="12" t="s">
        <v>212</v>
      </c>
      <c r="G64" s="12" t="s">
        <v>2025</v>
      </c>
      <c r="H64" s="12"/>
      <c r="I64" s="12"/>
      <c r="J64" s="12" t="s">
        <v>1885</v>
      </c>
      <c r="K64" s="45">
        <v>45586</v>
      </c>
      <c r="L64" s="45">
        <v>45586</v>
      </c>
      <c r="M64" s="45">
        <v>45600</v>
      </c>
      <c r="N64" s="12" t="s">
        <v>59</v>
      </c>
      <c r="O64" s="12" t="s">
        <v>60</v>
      </c>
      <c r="P64" s="12"/>
      <c r="Q64" s="12"/>
      <c r="R64" s="12" t="s">
        <v>1886</v>
      </c>
      <c r="S64" s="12" t="s">
        <v>1991</v>
      </c>
      <c r="T64"/>
    </row>
    <row r="65" spans="1:20" ht="78" customHeight="1" x14ac:dyDescent="0.25">
      <c r="A65" s="12" t="s">
        <v>2026</v>
      </c>
      <c r="B65" s="12" t="s">
        <v>71</v>
      </c>
      <c r="C65" s="12" t="s">
        <v>72</v>
      </c>
      <c r="D65" s="12" t="s">
        <v>236</v>
      </c>
      <c r="E65" s="12" t="s">
        <v>1883</v>
      </c>
      <c r="F65" s="12" t="s">
        <v>56</v>
      </c>
      <c r="G65" s="12" t="s">
        <v>2027</v>
      </c>
      <c r="H65" s="12" t="s">
        <v>2028</v>
      </c>
      <c r="I65" s="12"/>
      <c r="J65" s="12" t="s">
        <v>1867</v>
      </c>
      <c r="K65" s="45">
        <v>43587</v>
      </c>
      <c r="L65" s="45">
        <v>43567</v>
      </c>
      <c r="M65" s="45">
        <v>43594</v>
      </c>
      <c r="N65" s="12" t="s">
        <v>59</v>
      </c>
      <c r="O65" s="12" t="s">
        <v>60</v>
      </c>
      <c r="P65" s="12"/>
      <c r="Q65" s="12"/>
      <c r="R65" s="12" t="s">
        <v>1874</v>
      </c>
      <c r="S65" s="12" t="s">
        <v>1991</v>
      </c>
      <c r="T65"/>
    </row>
    <row r="66" spans="1:20" ht="104.1" customHeight="1" x14ac:dyDescent="0.25">
      <c r="A66" s="12" t="s">
        <v>2029</v>
      </c>
      <c r="B66" s="12" t="s">
        <v>71</v>
      </c>
      <c r="C66" s="12" t="s">
        <v>72</v>
      </c>
      <c r="D66" s="12" t="s">
        <v>224</v>
      </c>
      <c r="E66" s="12" t="s">
        <v>1862</v>
      </c>
      <c r="F66" s="12" t="s">
        <v>212</v>
      </c>
      <c r="G66" s="12" t="s">
        <v>2030</v>
      </c>
      <c r="H66" s="12"/>
      <c r="I66" s="12"/>
      <c r="J66" s="12" t="s">
        <v>1381</v>
      </c>
      <c r="K66" s="45">
        <v>44763</v>
      </c>
      <c r="L66" s="45">
        <v>44763</v>
      </c>
      <c r="M66" s="45">
        <v>44768</v>
      </c>
      <c r="N66" s="12" t="s">
        <v>59</v>
      </c>
      <c r="O66" s="12" t="s">
        <v>60</v>
      </c>
      <c r="P66" s="12"/>
      <c r="Q66" s="12"/>
      <c r="R66" s="12" t="s">
        <v>1986</v>
      </c>
      <c r="S66" s="12" t="s">
        <v>1991</v>
      </c>
      <c r="T66"/>
    </row>
    <row r="67" spans="1:20" ht="65.099999999999994" customHeight="1" x14ac:dyDescent="0.25">
      <c r="A67" s="12" t="s">
        <v>2031</v>
      </c>
      <c r="B67" s="12" t="s">
        <v>71</v>
      </c>
      <c r="C67" s="12" t="s">
        <v>72</v>
      </c>
      <c r="D67" s="12" t="s">
        <v>236</v>
      </c>
      <c r="E67" s="12" t="s">
        <v>1883</v>
      </c>
      <c r="F67" s="12" t="s">
        <v>56</v>
      </c>
      <c r="G67" s="12" t="s">
        <v>2032</v>
      </c>
      <c r="H67" s="12" t="s">
        <v>1928</v>
      </c>
      <c r="I67" s="12"/>
      <c r="J67" s="12" t="s">
        <v>1880</v>
      </c>
      <c r="K67" s="45">
        <v>43665</v>
      </c>
      <c r="L67" s="45">
        <v>43644</v>
      </c>
      <c r="M67" s="45">
        <v>43658</v>
      </c>
      <c r="N67" s="12" t="s">
        <v>91</v>
      </c>
      <c r="O67" s="12" t="s">
        <v>60</v>
      </c>
      <c r="P67" s="12"/>
      <c r="Q67" s="12"/>
      <c r="R67" s="12" t="s">
        <v>1929</v>
      </c>
      <c r="S67" s="12" t="s">
        <v>1991</v>
      </c>
      <c r="T67"/>
    </row>
    <row r="68" spans="1:20" ht="104.1" customHeight="1" x14ac:dyDescent="0.25">
      <c r="A68" s="12" t="s">
        <v>2033</v>
      </c>
      <c r="B68" s="12" t="s">
        <v>81</v>
      </c>
      <c r="C68" s="12" t="s">
        <v>82</v>
      </c>
      <c r="D68" s="12" t="s">
        <v>83</v>
      </c>
      <c r="E68" s="12" t="s">
        <v>1883</v>
      </c>
      <c r="F68" s="12" t="s">
        <v>56</v>
      </c>
      <c r="G68" s="12" t="s">
        <v>2034</v>
      </c>
      <c r="H68" s="12"/>
      <c r="I68" s="12"/>
      <c r="J68" s="12" t="s">
        <v>1880</v>
      </c>
      <c r="K68" s="45">
        <v>42545</v>
      </c>
      <c r="L68" s="45">
        <v>42835</v>
      </c>
      <c r="M68" s="45">
        <v>42859</v>
      </c>
      <c r="N68" s="12" t="s">
        <v>91</v>
      </c>
      <c r="O68" s="12" t="s">
        <v>60</v>
      </c>
      <c r="P68" s="12"/>
      <c r="Q68" s="12"/>
      <c r="R68" s="12" t="s">
        <v>1881</v>
      </c>
      <c r="S68" s="12" t="s">
        <v>2035</v>
      </c>
      <c r="T68"/>
    </row>
    <row r="69" spans="1:20" ht="195" customHeight="1" x14ac:dyDescent="0.25">
      <c r="A69" s="12" t="s">
        <v>2036</v>
      </c>
      <c r="B69" s="12" t="s">
        <v>81</v>
      </c>
      <c r="C69" s="12" t="s">
        <v>82</v>
      </c>
      <c r="D69" s="12" t="s">
        <v>83</v>
      </c>
      <c r="E69" s="12" t="s">
        <v>1883</v>
      </c>
      <c r="F69" s="12" t="s">
        <v>56</v>
      </c>
      <c r="G69" s="12" t="s">
        <v>2037</v>
      </c>
      <c r="H69" s="12"/>
      <c r="I69" s="12"/>
      <c r="J69" s="12"/>
      <c r="K69" s="45">
        <v>42637</v>
      </c>
      <c r="L69" s="45">
        <v>42905</v>
      </c>
      <c r="M69" s="45">
        <v>42912</v>
      </c>
      <c r="N69" s="12" t="s">
        <v>91</v>
      </c>
      <c r="O69" s="12" t="s">
        <v>60</v>
      </c>
      <c r="P69" s="12"/>
      <c r="Q69" s="12"/>
      <c r="R69" s="12" t="s">
        <v>1864</v>
      </c>
      <c r="S69" s="12" t="s">
        <v>2038</v>
      </c>
      <c r="T69"/>
    </row>
    <row r="70" spans="1:20" ht="168.95" customHeight="1" x14ac:dyDescent="0.25">
      <c r="A70" s="12" t="s">
        <v>2039</v>
      </c>
      <c r="B70" s="12" t="s">
        <v>81</v>
      </c>
      <c r="C70" s="12" t="s">
        <v>82</v>
      </c>
      <c r="D70" s="12" t="s">
        <v>55</v>
      </c>
      <c r="E70" s="12" t="s">
        <v>1862</v>
      </c>
      <c r="F70" s="12" t="s">
        <v>56</v>
      </c>
      <c r="G70" s="12" t="s">
        <v>1870</v>
      </c>
      <c r="H70" s="12"/>
      <c r="I70" s="12"/>
      <c r="J70" s="12"/>
      <c r="K70" s="45">
        <v>43185</v>
      </c>
      <c r="L70" s="45">
        <v>43185</v>
      </c>
      <c r="M70" s="45">
        <v>43213</v>
      </c>
      <c r="N70" s="12" t="s">
        <v>91</v>
      </c>
      <c r="O70" s="12" t="s">
        <v>60</v>
      </c>
      <c r="P70" s="12"/>
      <c r="Q70" s="12"/>
      <c r="R70" s="12" t="s">
        <v>1871</v>
      </c>
      <c r="S70" s="12"/>
      <c r="T70"/>
    </row>
    <row r="71" spans="1:20" ht="143.1" customHeight="1" x14ac:dyDescent="0.25">
      <c r="A71" s="12" t="s">
        <v>2040</v>
      </c>
      <c r="B71" s="12" t="s">
        <v>81</v>
      </c>
      <c r="C71" s="12" t="s">
        <v>82</v>
      </c>
      <c r="D71" s="12" t="s">
        <v>252</v>
      </c>
      <c r="E71" s="12" t="s">
        <v>1862</v>
      </c>
      <c r="F71" s="12" t="s">
        <v>212</v>
      </c>
      <c r="G71" s="12" t="s">
        <v>2041</v>
      </c>
      <c r="H71" s="12"/>
      <c r="I71" s="12"/>
      <c r="J71" s="12" t="s">
        <v>1885</v>
      </c>
      <c r="K71" s="45">
        <v>45621</v>
      </c>
      <c r="L71" s="45">
        <v>45621</v>
      </c>
      <c r="M71" s="45">
        <v>45629</v>
      </c>
      <c r="N71" s="12" t="s">
        <v>59</v>
      </c>
      <c r="O71" s="12" t="s">
        <v>60</v>
      </c>
      <c r="P71" s="12"/>
      <c r="Q71" s="12"/>
      <c r="R71" s="12" t="s">
        <v>1932</v>
      </c>
      <c r="S71" s="12" t="s">
        <v>2042</v>
      </c>
      <c r="T71"/>
    </row>
    <row r="72" spans="1:20" ht="143.1" customHeight="1" x14ac:dyDescent="0.25">
      <c r="A72" s="12" t="s">
        <v>2043</v>
      </c>
      <c r="B72" s="12" t="s">
        <v>81</v>
      </c>
      <c r="C72" s="12" t="s">
        <v>82</v>
      </c>
      <c r="D72" s="12" t="s">
        <v>228</v>
      </c>
      <c r="E72" s="12" t="s">
        <v>1862</v>
      </c>
      <c r="F72" s="12" t="s">
        <v>212</v>
      </c>
      <c r="G72" s="12" t="s">
        <v>2044</v>
      </c>
      <c r="H72" s="12"/>
      <c r="I72" s="12"/>
      <c r="J72" s="12"/>
      <c r="K72" s="45">
        <v>44454</v>
      </c>
      <c r="L72" s="45">
        <v>44454</v>
      </c>
      <c r="M72" s="45">
        <v>44474</v>
      </c>
      <c r="N72" s="12" t="s">
        <v>59</v>
      </c>
      <c r="O72" s="12" t="s">
        <v>60</v>
      </c>
      <c r="P72" s="12"/>
      <c r="Q72" s="12"/>
      <c r="R72" s="12" t="s">
        <v>1922</v>
      </c>
      <c r="S72" s="12"/>
      <c r="T72"/>
    </row>
    <row r="73" spans="1:20" ht="78" customHeight="1" x14ac:dyDescent="0.25">
      <c r="A73" s="12" t="s">
        <v>2045</v>
      </c>
      <c r="B73" s="12" t="s">
        <v>81</v>
      </c>
      <c r="C73" s="12" t="s">
        <v>82</v>
      </c>
      <c r="D73" s="12" t="s">
        <v>236</v>
      </c>
      <c r="E73" s="12" t="s">
        <v>1862</v>
      </c>
      <c r="F73" s="12" t="s">
        <v>56</v>
      </c>
      <c r="G73" s="12" t="s">
        <v>2046</v>
      </c>
      <c r="H73" s="12"/>
      <c r="I73" s="12"/>
      <c r="J73" s="12" t="s">
        <v>1867</v>
      </c>
      <c r="K73" s="45">
        <v>43615</v>
      </c>
      <c r="L73" s="45">
        <v>43615</v>
      </c>
      <c r="M73" s="45">
        <v>43627</v>
      </c>
      <c r="N73" s="12" t="s">
        <v>91</v>
      </c>
      <c r="O73" s="12" t="s">
        <v>60</v>
      </c>
      <c r="P73" s="12"/>
      <c r="Q73" s="12"/>
      <c r="R73" s="12" t="s">
        <v>1929</v>
      </c>
      <c r="S73" s="12"/>
      <c r="T73"/>
    </row>
    <row r="74" spans="1:20" ht="78" customHeight="1" x14ac:dyDescent="0.25">
      <c r="A74" s="12" t="s">
        <v>2047</v>
      </c>
      <c r="B74" s="12" t="s">
        <v>81</v>
      </c>
      <c r="C74" s="12" t="s">
        <v>82</v>
      </c>
      <c r="D74" s="12" t="s">
        <v>252</v>
      </c>
      <c r="E74" s="12" t="s">
        <v>1862</v>
      </c>
      <c r="F74" s="12" t="s">
        <v>212</v>
      </c>
      <c r="G74" s="12" t="s">
        <v>2048</v>
      </c>
      <c r="H74" s="12"/>
      <c r="I74" s="12"/>
      <c r="J74" s="12"/>
      <c r="K74" s="45">
        <v>45439</v>
      </c>
      <c r="L74" s="45">
        <v>45439</v>
      </c>
      <c r="M74" s="45">
        <v>45449</v>
      </c>
      <c r="N74" s="12" t="s">
        <v>59</v>
      </c>
      <c r="O74" s="12" t="s">
        <v>60</v>
      </c>
      <c r="P74" s="12"/>
      <c r="Q74" s="12"/>
      <c r="R74" s="12" t="s">
        <v>1963</v>
      </c>
      <c r="S74" s="12" t="s">
        <v>2042</v>
      </c>
      <c r="T74"/>
    </row>
    <row r="75" spans="1:20" ht="78" customHeight="1" x14ac:dyDescent="0.25">
      <c r="A75" s="12" t="s">
        <v>2049</v>
      </c>
      <c r="B75" s="12" t="s">
        <v>81</v>
      </c>
      <c r="C75" s="12" t="s">
        <v>82</v>
      </c>
      <c r="D75" s="12" t="s">
        <v>236</v>
      </c>
      <c r="E75" s="12" t="s">
        <v>1862</v>
      </c>
      <c r="F75" s="12" t="s">
        <v>56</v>
      </c>
      <c r="G75" s="12" t="s">
        <v>1873</v>
      </c>
      <c r="H75" s="12"/>
      <c r="I75" s="12"/>
      <c r="J75" s="12" t="s">
        <v>1867</v>
      </c>
      <c r="K75" s="45">
        <v>43542</v>
      </c>
      <c r="L75" s="45">
        <v>43542</v>
      </c>
      <c r="M75" s="45">
        <v>43546</v>
      </c>
      <c r="N75" s="12" t="s">
        <v>59</v>
      </c>
      <c r="O75" s="12" t="s">
        <v>60</v>
      </c>
      <c r="P75" s="12"/>
      <c r="Q75" s="12"/>
      <c r="R75" s="12" t="s">
        <v>1874</v>
      </c>
      <c r="S75" s="12"/>
      <c r="T75"/>
    </row>
    <row r="76" spans="1:20" ht="39" customHeight="1" x14ac:dyDescent="0.25">
      <c r="A76" s="12" t="s">
        <v>2050</v>
      </c>
      <c r="B76" s="12" t="s">
        <v>81</v>
      </c>
      <c r="C76" s="12" t="s">
        <v>82</v>
      </c>
      <c r="D76" s="12" t="s">
        <v>220</v>
      </c>
      <c r="E76" s="12" t="s">
        <v>1862</v>
      </c>
      <c r="F76" s="12" t="s">
        <v>1307</v>
      </c>
      <c r="G76" s="12" t="s">
        <v>2051</v>
      </c>
      <c r="H76" s="12" t="s">
        <v>2020</v>
      </c>
      <c r="I76" s="12"/>
      <c r="J76" s="12" t="s">
        <v>2021</v>
      </c>
      <c r="K76" s="45">
        <v>45259</v>
      </c>
      <c r="L76" s="45">
        <v>45259</v>
      </c>
      <c r="M76" s="45">
        <v>45260</v>
      </c>
      <c r="N76" s="12" t="s">
        <v>59</v>
      </c>
      <c r="O76" s="12" t="s">
        <v>60</v>
      </c>
      <c r="P76" s="12"/>
      <c r="Q76" s="12"/>
      <c r="R76" s="12" t="s">
        <v>1918</v>
      </c>
      <c r="S76" s="12" t="s">
        <v>2052</v>
      </c>
      <c r="T76"/>
    </row>
    <row r="77" spans="1:20" ht="26.1" customHeight="1" x14ac:dyDescent="0.25">
      <c r="A77" s="12" t="s">
        <v>2053</v>
      </c>
      <c r="B77" s="12" t="s">
        <v>81</v>
      </c>
      <c r="C77" s="12" t="s">
        <v>82</v>
      </c>
      <c r="D77" s="12" t="s">
        <v>236</v>
      </c>
      <c r="E77" s="12" t="s">
        <v>1862</v>
      </c>
      <c r="F77" s="12" t="s">
        <v>56</v>
      </c>
      <c r="G77" s="12" t="s">
        <v>1866</v>
      </c>
      <c r="H77" s="12"/>
      <c r="I77" s="12"/>
      <c r="J77" s="12" t="s">
        <v>1867</v>
      </c>
      <c r="K77" s="45">
        <v>43615</v>
      </c>
      <c r="L77" s="45">
        <v>43615</v>
      </c>
      <c r="M77" s="45">
        <v>43627</v>
      </c>
      <c r="N77" s="12" t="s">
        <v>59</v>
      </c>
      <c r="O77" s="12" t="s">
        <v>60</v>
      </c>
      <c r="P77" s="12"/>
      <c r="Q77" s="12"/>
      <c r="R77" s="12" t="s">
        <v>1868</v>
      </c>
      <c r="S77" s="12"/>
      <c r="T77"/>
    </row>
    <row r="78" spans="1:20" ht="104.1" customHeight="1" x14ac:dyDescent="0.25">
      <c r="A78" s="12" t="s">
        <v>2054</v>
      </c>
      <c r="B78" s="12" t="s">
        <v>81</v>
      </c>
      <c r="C78" s="12" t="s">
        <v>82</v>
      </c>
      <c r="D78" s="12" t="s">
        <v>252</v>
      </c>
      <c r="E78" s="12" t="s">
        <v>1862</v>
      </c>
      <c r="F78" s="12" t="s">
        <v>212</v>
      </c>
      <c r="G78" s="12" t="s">
        <v>2055</v>
      </c>
      <c r="H78" s="12"/>
      <c r="I78" s="12"/>
      <c r="J78" s="12" t="s">
        <v>1885</v>
      </c>
      <c r="K78" s="45">
        <v>45621</v>
      </c>
      <c r="L78" s="45">
        <v>45621</v>
      </c>
      <c r="M78" s="45">
        <v>45629</v>
      </c>
      <c r="N78" s="12" t="s">
        <v>59</v>
      </c>
      <c r="O78" s="12" t="s">
        <v>60</v>
      </c>
      <c r="P78" s="12"/>
      <c r="Q78" s="12"/>
      <c r="R78" s="12" t="s">
        <v>1886</v>
      </c>
      <c r="S78" s="12" t="s">
        <v>2042</v>
      </c>
      <c r="T78"/>
    </row>
    <row r="79" spans="1:20" ht="39" customHeight="1" x14ac:dyDescent="0.25">
      <c r="A79" s="12" t="s">
        <v>2056</v>
      </c>
      <c r="B79" s="12" t="s">
        <v>81</v>
      </c>
      <c r="C79" s="12" t="s">
        <v>82</v>
      </c>
      <c r="D79" s="12" t="s">
        <v>220</v>
      </c>
      <c r="E79" s="12" t="s">
        <v>1862</v>
      </c>
      <c r="F79" s="12" t="s">
        <v>1307</v>
      </c>
      <c r="G79" s="12" t="s">
        <v>2057</v>
      </c>
      <c r="H79" s="12"/>
      <c r="I79" s="12"/>
      <c r="J79" s="12" t="s">
        <v>2021</v>
      </c>
      <c r="K79" s="45">
        <v>45204</v>
      </c>
      <c r="L79" s="45">
        <v>45204</v>
      </c>
      <c r="M79" s="45">
        <v>45260</v>
      </c>
      <c r="N79" s="12" t="s">
        <v>59</v>
      </c>
      <c r="O79" s="12" t="s">
        <v>60</v>
      </c>
      <c r="P79" s="12"/>
      <c r="Q79" s="12"/>
      <c r="R79" s="12" t="s">
        <v>1968</v>
      </c>
      <c r="S79" s="12" t="s">
        <v>2052</v>
      </c>
      <c r="T79"/>
    </row>
    <row r="80" spans="1:20" ht="39" customHeight="1" x14ac:dyDescent="0.25">
      <c r="A80" s="12" t="s">
        <v>2058</v>
      </c>
      <c r="B80" s="12" t="s">
        <v>81</v>
      </c>
      <c r="C80" s="12" t="s">
        <v>82</v>
      </c>
      <c r="D80" s="12" t="s">
        <v>220</v>
      </c>
      <c r="E80" s="12" t="s">
        <v>1862</v>
      </c>
      <c r="F80" s="12" t="s">
        <v>1307</v>
      </c>
      <c r="G80" s="12" t="s">
        <v>2059</v>
      </c>
      <c r="H80" s="12"/>
      <c r="I80" s="12"/>
      <c r="J80" s="12"/>
      <c r="K80" s="45">
        <v>44943</v>
      </c>
      <c r="L80" s="45">
        <v>44943</v>
      </c>
      <c r="M80" s="45">
        <v>44953</v>
      </c>
      <c r="N80" s="12" t="s">
        <v>59</v>
      </c>
      <c r="O80" s="12" t="s">
        <v>60</v>
      </c>
      <c r="P80" s="12"/>
      <c r="Q80" s="12"/>
      <c r="R80" s="12" t="s">
        <v>1910</v>
      </c>
      <c r="S80" s="12" t="s">
        <v>2052</v>
      </c>
      <c r="T80"/>
    </row>
    <row r="81" spans="1:20" ht="39" customHeight="1" x14ac:dyDescent="0.25">
      <c r="A81" s="12" t="s">
        <v>2060</v>
      </c>
      <c r="B81" s="12" t="s">
        <v>81</v>
      </c>
      <c r="C81" s="12" t="s">
        <v>82</v>
      </c>
      <c r="D81" s="12" t="s">
        <v>220</v>
      </c>
      <c r="E81" s="12" t="s">
        <v>1862</v>
      </c>
      <c r="F81" s="12" t="s">
        <v>1307</v>
      </c>
      <c r="G81" s="12" t="s">
        <v>2061</v>
      </c>
      <c r="H81" s="12"/>
      <c r="I81" s="12"/>
      <c r="J81" s="12" t="s">
        <v>2021</v>
      </c>
      <c r="K81" s="45">
        <v>45204</v>
      </c>
      <c r="L81" s="45">
        <v>45204</v>
      </c>
      <c r="M81" s="45">
        <v>45260</v>
      </c>
      <c r="N81" s="12" t="s">
        <v>59</v>
      </c>
      <c r="O81" s="12" t="s">
        <v>60</v>
      </c>
      <c r="P81" s="12"/>
      <c r="Q81" s="12"/>
      <c r="R81" s="12" t="s">
        <v>1975</v>
      </c>
      <c r="S81" s="12" t="s">
        <v>2052</v>
      </c>
      <c r="T81"/>
    </row>
    <row r="82" spans="1:20" ht="65.099999999999994" customHeight="1" x14ac:dyDescent="0.25">
      <c r="A82" s="12" t="s">
        <v>2062</v>
      </c>
      <c r="B82" s="12" t="s">
        <v>81</v>
      </c>
      <c r="C82" s="12" t="s">
        <v>82</v>
      </c>
      <c r="D82" s="12" t="s">
        <v>228</v>
      </c>
      <c r="E82" s="12" t="s">
        <v>1862</v>
      </c>
      <c r="F82" s="12" t="s">
        <v>212</v>
      </c>
      <c r="G82" s="12" t="s">
        <v>2063</v>
      </c>
      <c r="H82" s="12"/>
      <c r="I82" s="12"/>
      <c r="J82" s="12"/>
      <c r="K82" s="45">
        <v>44454</v>
      </c>
      <c r="L82" s="45">
        <v>44454</v>
      </c>
      <c r="M82" s="45">
        <v>44474</v>
      </c>
      <c r="N82" s="12" t="s">
        <v>59</v>
      </c>
      <c r="O82" s="12" t="s">
        <v>60</v>
      </c>
      <c r="P82" s="12"/>
      <c r="Q82" s="12"/>
      <c r="R82" s="12" t="s">
        <v>1938</v>
      </c>
      <c r="S82" s="12"/>
      <c r="T82"/>
    </row>
    <row r="83" spans="1:20" ht="104.1" customHeight="1" x14ac:dyDescent="0.25">
      <c r="A83" s="12" t="s">
        <v>2064</v>
      </c>
      <c r="B83" s="12" t="s">
        <v>81</v>
      </c>
      <c r="C83" s="12" t="s">
        <v>82</v>
      </c>
      <c r="D83" s="12" t="s">
        <v>220</v>
      </c>
      <c r="E83" s="12" t="s">
        <v>1862</v>
      </c>
      <c r="F83" s="12" t="s">
        <v>1307</v>
      </c>
      <c r="G83" s="12" t="s">
        <v>2065</v>
      </c>
      <c r="H83" s="12"/>
      <c r="I83" s="12"/>
      <c r="J83" s="12" t="s">
        <v>2066</v>
      </c>
      <c r="K83" s="45">
        <v>45204</v>
      </c>
      <c r="L83" s="45">
        <v>45204</v>
      </c>
      <c r="M83" s="45">
        <v>45260</v>
      </c>
      <c r="N83" s="12" t="s">
        <v>59</v>
      </c>
      <c r="O83" s="12" t="s">
        <v>60</v>
      </c>
      <c r="P83" s="12"/>
      <c r="Q83" s="12"/>
      <c r="R83" s="12" t="s">
        <v>1978</v>
      </c>
      <c r="S83" s="12" t="s">
        <v>2052</v>
      </c>
      <c r="T83"/>
    </row>
    <row r="84" spans="1:20" ht="182.1" customHeight="1" x14ac:dyDescent="0.25">
      <c r="A84" s="12" t="s">
        <v>2067</v>
      </c>
      <c r="B84" s="12" t="s">
        <v>81</v>
      </c>
      <c r="C84" s="12" t="s">
        <v>82</v>
      </c>
      <c r="D84" s="12" t="s">
        <v>236</v>
      </c>
      <c r="E84" s="12" t="s">
        <v>1862</v>
      </c>
      <c r="F84" s="12" t="s">
        <v>56</v>
      </c>
      <c r="G84" s="12" t="s">
        <v>1876</v>
      </c>
      <c r="H84" s="12"/>
      <c r="I84" s="12"/>
      <c r="J84" s="12" t="s">
        <v>1867</v>
      </c>
      <c r="K84" s="45">
        <v>43615</v>
      </c>
      <c r="L84" s="45">
        <v>43615</v>
      </c>
      <c r="M84" s="45">
        <v>43627</v>
      </c>
      <c r="N84" s="12" t="s">
        <v>59</v>
      </c>
      <c r="O84" s="12" t="s">
        <v>60</v>
      </c>
      <c r="P84" s="12"/>
      <c r="Q84" s="12"/>
      <c r="R84" s="12" t="s">
        <v>1877</v>
      </c>
      <c r="S84" s="12"/>
      <c r="T84"/>
    </row>
    <row r="85" spans="1:20" ht="129.94999999999999" customHeight="1" x14ac:dyDescent="0.25">
      <c r="A85" s="12" t="s">
        <v>2068</v>
      </c>
      <c r="B85" s="12" t="s">
        <v>81</v>
      </c>
      <c r="C85" s="12" t="s">
        <v>82</v>
      </c>
      <c r="D85" s="12" t="s">
        <v>228</v>
      </c>
      <c r="E85" s="12" t="s">
        <v>1862</v>
      </c>
      <c r="F85" s="12" t="s">
        <v>212</v>
      </c>
      <c r="G85" s="12" t="s">
        <v>2069</v>
      </c>
      <c r="H85" s="12"/>
      <c r="I85" s="12"/>
      <c r="J85" s="12"/>
      <c r="K85" s="45">
        <v>44454</v>
      </c>
      <c r="L85" s="45">
        <v>44454</v>
      </c>
      <c r="M85" s="45">
        <v>44474</v>
      </c>
      <c r="N85" s="12" t="s">
        <v>59</v>
      </c>
      <c r="O85" s="12" t="s">
        <v>60</v>
      </c>
      <c r="P85" s="12"/>
      <c r="Q85" s="12"/>
      <c r="R85" s="12" t="s">
        <v>1894</v>
      </c>
      <c r="S85" s="12"/>
      <c r="T85"/>
    </row>
    <row r="86" spans="1:20" ht="129.94999999999999" customHeight="1" x14ac:dyDescent="0.25">
      <c r="A86" s="12" t="s">
        <v>2070</v>
      </c>
      <c r="B86" s="12" t="s">
        <v>81</v>
      </c>
      <c r="C86" s="12" t="s">
        <v>82</v>
      </c>
      <c r="D86" s="12" t="s">
        <v>228</v>
      </c>
      <c r="E86" s="12" t="s">
        <v>1862</v>
      </c>
      <c r="F86" s="12" t="s">
        <v>212</v>
      </c>
      <c r="G86" s="12" t="s">
        <v>2071</v>
      </c>
      <c r="H86" s="12"/>
      <c r="I86" s="12"/>
      <c r="J86" s="12"/>
      <c r="K86" s="45">
        <v>44454</v>
      </c>
      <c r="L86" s="45">
        <v>44454</v>
      </c>
      <c r="M86" s="45">
        <v>44474</v>
      </c>
      <c r="N86" s="12" t="s">
        <v>59</v>
      </c>
      <c r="O86" s="12" t="s">
        <v>60</v>
      </c>
      <c r="P86" s="12"/>
      <c r="Q86" s="12"/>
      <c r="R86" s="12" t="s">
        <v>1904</v>
      </c>
      <c r="S86" s="12"/>
      <c r="T86"/>
    </row>
    <row r="87" spans="1:20" ht="51.95" customHeight="1" x14ac:dyDescent="0.25">
      <c r="A87" s="12" t="s">
        <v>2072</v>
      </c>
      <c r="B87" s="12" t="s">
        <v>81</v>
      </c>
      <c r="C87" s="12" t="s">
        <v>82</v>
      </c>
      <c r="D87" s="12" t="s">
        <v>224</v>
      </c>
      <c r="E87" s="12" t="s">
        <v>1862</v>
      </c>
      <c r="F87" s="12" t="s">
        <v>212</v>
      </c>
      <c r="G87" s="12" t="s">
        <v>2073</v>
      </c>
      <c r="H87" s="12"/>
      <c r="I87" s="12"/>
      <c r="J87" s="12"/>
      <c r="K87" s="45">
        <v>44705</v>
      </c>
      <c r="L87" s="45">
        <v>44705</v>
      </c>
      <c r="M87" s="45">
        <v>44753</v>
      </c>
      <c r="N87" s="12" t="s">
        <v>59</v>
      </c>
      <c r="O87" s="12" t="s">
        <v>60</v>
      </c>
      <c r="P87" s="12"/>
      <c r="Q87" s="12"/>
      <c r="R87" s="12" t="s">
        <v>1897</v>
      </c>
      <c r="S87" s="12" t="s">
        <v>2042</v>
      </c>
      <c r="T87"/>
    </row>
    <row r="88" spans="1:20" ht="39" customHeight="1" x14ac:dyDescent="0.25">
      <c r="A88" s="12" t="s">
        <v>2074</v>
      </c>
      <c r="B88" s="12" t="s">
        <v>81</v>
      </c>
      <c r="C88" s="12" t="s">
        <v>82</v>
      </c>
      <c r="D88" s="12" t="s">
        <v>220</v>
      </c>
      <c r="E88" s="12" t="s">
        <v>1862</v>
      </c>
      <c r="F88" s="12" t="s">
        <v>212</v>
      </c>
      <c r="G88" s="12" t="s">
        <v>2075</v>
      </c>
      <c r="H88" s="12"/>
      <c r="I88" s="12"/>
      <c r="J88" s="12" t="s">
        <v>90</v>
      </c>
      <c r="K88" s="45">
        <v>44943</v>
      </c>
      <c r="L88" s="45">
        <v>44943</v>
      </c>
      <c r="M88" s="45">
        <v>44953</v>
      </c>
      <c r="N88" s="12" t="s">
        <v>59</v>
      </c>
      <c r="O88" s="12" t="s">
        <v>60</v>
      </c>
      <c r="P88" s="12"/>
      <c r="Q88" s="12"/>
      <c r="R88" s="12" t="s">
        <v>1986</v>
      </c>
      <c r="S88" s="12" t="s">
        <v>2042</v>
      </c>
      <c r="T88"/>
    </row>
    <row r="89" spans="1:20" ht="78" customHeight="1" x14ac:dyDescent="0.25">
      <c r="A89" s="12" t="s">
        <v>2076</v>
      </c>
      <c r="B89" s="12" t="s">
        <v>81</v>
      </c>
      <c r="C89" s="12" t="s">
        <v>82</v>
      </c>
      <c r="D89" s="12" t="s">
        <v>224</v>
      </c>
      <c r="E89" s="12" t="s">
        <v>1862</v>
      </c>
      <c r="F89" s="12" t="s">
        <v>212</v>
      </c>
      <c r="G89" s="12" t="s">
        <v>2077</v>
      </c>
      <c r="H89" s="12"/>
      <c r="I89" s="12"/>
      <c r="J89" s="12"/>
      <c r="K89" s="45">
        <v>44705</v>
      </c>
      <c r="L89" s="45">
        <v>44705</v>
      </c>
      <c r="M89" s="45">
        <v>44753</v>
      </c>
      <c r="N89" s="12" t="s">
        <v>59</v>
      </c>
      <c r="O89" s="12" t="s">
        <v>60</v>
      </c>
      <c r="P89" s="12"/>
      <c r="Q89" s="12"/>
      <c r="R89" s="12" t="s">
        <v>1900</v>
      </c>
      <c r="S89" s="12" t="s">
        <v>2042</v>
      </c>
      <c r="T89"/>
    </row>
    <row r="90" spans="1:20" ht="104.1" customHeight="1" x14ac:dyDescent="0.25">
      <c r="A90" s="12" t="s">
        <v>2078</v>
      </c>
      <c r="B90" s="12" t="s">
        <v>94</v>
      </c>
      <c r="C90" s="12" t="s">
        <v>95</v>
      </c>
      <c r="D90" s="12" t="s">
        <v>220</v>
      </c>
      <c r="E90" s="12" t="s">
        <v>1862</v>
      </c>
      <c r="F90" s="12" t="s">
        <v>56</v>
      </c>
      <c r="G90" s="12" t="s">
        <v>2079</v>
      </c>
      <c r="H90" s="12"/>
      <c r="I90" s="12"/>
      <c r="J90" s="12" t="s">
        <v>1381</v>
      </c>
      <c r="K90" s="45">
        <v>45079</v>
      </c>
      <c r="L90" s="45">
        <v>45079</v>
      </c>
      <c r="M90" s="45">
        <v>45079</v>
      </c>
      <c r="N90" s="12" t="s">
        <v>59</v>
      </c>
      <c r="O90" s="12" t="s">
        <v>60</v>
      </c>
      <c r="P90" s="12"/>
      <c r="Q90" s="12"/>
      <c r="R90" s="12" t="s">
        <v>1975</v>
      </c>
      <c r="S90" s="12" t="s">
        <v>2080</v>
      </c>
      <c r="T90"/>
    </row>
    <row r="91" spans="1:20" ht="65.099999999999994" customHeight="1" x14ac:dyDescent="0.25">
      <c r="A91" s="12" t="s">
        <v>2081</v>
      </c>
      <c r="B91" s="12" t="s">
        <v>94</v>
      </c>
      <c r="C91" s="12" t="s">
        <v>95</v>
      </c>
      <c r="D91" s="12" t="s">
        <v>220</v>
      </c>
      <c r="E91" s="12" t="s">
        <v>1862</v>
      </c>
      <c r="F91" s="12" t="s">
        <v>56</v>
      </c>
      <c r="G91" s="12" t="s">
        <v>2082</v>
      </c>
      <c r="H91" s="12"/>
      <c r="I91" s="12"/>
      <c r="J91" s="12" t="s">
        <v>1381</v>
      </c>
      <c r="K91" s="45">
        <v>45079</v>
      </c>
      <c r="L91" s="45">
        <v>45079</v>
      </c>
      <c r="M91" s="45">
        <v>45079</v>
      </c>
      <c r="N91" s="12" t="s">
        <v>59</v>
      </c>
      <c r="O91" s="12" t="s">
        <v>60</v>
      </c>
      <c r="P91" s="12"/>
      <c r="Q91" s="12"/>
      <c r="R91" s="12" t="s">
        <v>1968</v>
      </c>
      <c r="S91" s="12" t="s">
        <v>2080</v>
      </c>
      <c r="T91"/>
    </row>
    <row r="92" spans="1:20" ht="104.1" customHeight="1" x14ac:dyDescent="0.25">
      <c r="A92" s="12" t="s">
        <v>2083</v>
      </c>
      <c r="B92" s="12" t="s">
        <v>94</v>
      </c>
      <c r="C92" s="12" t="s">
        <v>95</v>
      </c>
      <c r="D92" s="12" t="s">
        <v>236</v>
      </c>
      <c r="E92" s="12" t="s">
        <v>1862</v>
      </c>
      <c r="F92" s="12" t="s">
        <v>56</v>
      </c>
      <c r="G92" s="12" t="s">
        <v>1876</v>
      </c>
      <c r="H92" s="12"/>
      <c r="I92" s="12"/>
      <c r="J92" s="12" t="s">
        <v>1867</v>
      </c>
      <c r="K92" s="45">
        <v>43594</v>
      </c>
      <c r="L92" s="45">
        <v>43591</v>
      </c>
      <c r="M92" s="45">
        <v>43592</v>
      </c>
      <c r="N92" s="12" t="s">
        <v>59</v>
      </c>
      <c r="O92" s="12" t="s">
        <v>60</v>
      </c>
      <c r="P92" s="12"/>
      <c r="Q92" s="12"/>
      <c r="R92" s="12" t="s">
        <v>1877</v>
      </c>
      <c r="S92" s="12" t="s">
        <v>2084</v>
      </c>
      <c r="T92"/>
    </row>
    <row r="93" spans="1:20" ht="65.099999999999994" customHeight="1" x14ac:dyDescent="0.25">
      <c r="A93" s="12" t="s">
        <v>2085</v>
      </c>
      <c r="B93" s="12" t="s">
        <v>94</v>
      </c>
      <c r="C93" s="12" t="s">
        <v>95</v>
      </c>
      <c r="D93" s="12" t="s">
        <v>220</v>
      </c>
      <c r="E93" s="12" t="s">
        <v>1862</v>
      </c>
      <c r="F93" s="12" t="s">
        <v>1307</v>
      </c>
      <c r="G93" s="12" t="s">
        <v>2086</v>
      </c>
      <c r="H93" s="12"/>
      <c r="I93" s="12"/>
      <c r="J93" s="12" t="s">
        <v>2087</v>
      </c>
      <c r="K93" s="45">
        <v>45205</v>
      </c>
      <c r="L93" s="45">
        <v>45205</v>
      </c>
      <c r="M93" s="45">
        <v>45205</v>
      </c>
      <c r="N93" s="12" t="s">
        <v>59</v>
      </c>
      <c r="O93" s="12" t="s">
        <v>60</v>
      </c>
      <c r="P93" s="12"/>
      <c r="Q93" s="12"/>
      <c r="R93" s="12" t="s">
        <v>1918</v>
      </c>
      <c r="S93" s="12" t="s">
        <v>2088</v>
      </c>
      <c r="T93"/>
    </row>
    <row r="94" spans="1:20" ht="65.099999999999994" customHeight="1" x14ac:dyDescent="0.25">
      <c r="A94" s="12" t="s">
        <v>2089</v>
      </c>
      <c r="B94" s="12" t="s">
        <v>94</v>
      </c>
      <c r="C94" s="12" t="s">
        <v>95</v>
      </c>
      <c r="D94" s="12" t="s">
        <v>224</v>
      </c>
      <c r="E94" s="12" t="s">
        <v>1862</v>
      </c>
      <c r="F94" s="12" t="s">
        <v>56</v>
      </c>
      <c r="G94" s="12" t="s">
        <v>2090</v>
      </c>
      <c r="H94" s="12"/>
      <c r="I94" s="12"/>
      <c r="J94" s="12" t="s">
        <v>1381</v>
      </c>
      <c r="K94" s="45">
        <v>44728</v>
      </c>
      <c r="L94" s="45">
        <v>44728</v>
      </c>
      <c r="M94" s="45">
        <v>44733</v>
      </c>
      <c r="N94" s="12" t="s">
        <v>59</v>
      </c>
      <c r="O94" s="12" t="s">
        <v>60</v>
      </c>
      <c r="P94" s="12"/>
      <c r="Q94" s="12"/>
      <c r="R94" s="12" t="s">
        <v>1900</v>
      </c>
      <c r="S94" s="12" t="s">
        <v>2091</v>
      </c>
      <c r="T94"/>
    </row>
    <row r="95" spans="1:20" ht="65.099999999999994" customHeight="1" x14ac:dyDescent="0.25">
      <c r="A95" s="12" t="s">
        <v>2092</v>
      </c>
      <c r="B95" s="12" t="s">
        <v>94</v>
      </c>
      <c r="C95" s="12" t="s">
        <v>95</v>
      </c>
      <c r="D95" s="12" t="s">
        <v>228</v>
      </c>
      <c r="E95" s="12" t="s">
        <v>1862</v>
      </c>
      <c r="F95" s="12" t="s">
        <v>56</v>
      </c>
      <c r="G95" s="12" t="s">
        <v>2093</v>
      </c>
      <c r="H95" s="12"/>
      <c r="I95" s="12"/>
      <c r="J95" s="12"/>
      <c r="K95" s="45">
        <v>44379</v>
      </c>
      <c r="L95" s="45">
        <v>44379</v>
      </c>
      <c r="M95" s="45">
        <v>44393</v>
      </c>
      <c r="N95" s="12" t="s">
        <v>59</v>
      </c>
      <c r="O95" s="12" t="s">
        <v>60</v>
      </c>
      <c r="P95" s="12"/>
      <c r="Q95" s="12"/>
      <c r="R95" s="12" t="s">
        <v>1904</v>
      </c>
      <c r="S95" s="12" t="s">
        <v>2094</v>
      </c>
      <c r="T95"/>
    </row>
    <row r="96" spans="1:20" ht="65.099999999999994" customHeight="1" x14ac:dyDescent="0.25">
      <c r="A96" s="12" t="s">
        <v>2095</v>
      </c>
      <c r="B96" s="12" t="s">
        <v>94</v>
      </c>
      <c r="C96" s="12" t="s">
        <v>95</v>
      </c>
      <c r="D96" s="12" t="s">
        <v>228</v>
      </c>
      <c r="E96" s="12" t="s">
        <v>1862</v>
      </c>
      <c r="F96" s="12" t="s">
        <v>212</v>
      </c>
      <c r="G96" s="12" t="s">
        <v>2096</v>
      </c>
      <c r="H96" s="12"/>
      <c r="I96" s="12"/>
      <c r="J96" s="12"/>
      <c r="K96" s="45">
        <v>44379</v>
      </c>
      <c r="L96" s="45">
        <v>44379</v>
      </c>
      <c r="M96" s="45">
        <v>44393</v>
      </c>
      <c r="N96" s="12" t="s">
        <v>59</v>
      </c>
      <c r="O96" s="12" t="s">
        <v>60</v>
      </c>
      <c r="P96" s="12"/>
      <c r="Q96" s="12"/>
      <c r="R96" s="12" t="s">
        <v>1938</v>
      </c>
      <c r="S96" s="12" t="s">
        <v>2097</v>
      </c>
      <c r="T96"/>
    </row>
    <row r="97" spans="1:20" ht="78" customHeight="1" x14ac:dyDescent="0.25">
      <c r="A97" s="12" t="s">
        <v>2098</v>
      </c>
      <c r="B97" s="12" t="s">
        <v>94</v>
      </c>
      <c r="C97" s="12" t="s">
        <v>95</v>
      </c>
      <c r="D97" s="12" t="s">
        <v>126</v>
      </c>
      <c r="E97" s="12" t="s">
        <v>1862</v>
      </c>
      <c r="F97" s="12" t="s">
        <v>56</v>
      </c>
      <c r="G97" s="12" t="s">
        <v>1879</v>
      </c>
      <c r="H97" s="12"/>
      <c r="I97" s="12"/>
      <c r="J97" s="12"/>
      <c r="K97" s="45">
        <v>42669</v>
      </c>
      <c r="L97" s="45">
        <v>42669</v>
      </c>
      <c r="M97" s="45">
        <v>42669</v>
      </c>
      <c r="N97" s="12" t="s">
        <v>91</v>
      </c>
      <c r="O97" s="12" t="s">
        <v>60</v>
      </c>
      <c r="P97" s="12"/>
      <c r="Q97" s="12"/>
      <c r="R97" s="12" t="s">
        <v>1881</v>
      </c>
      <c r="S97" s="12" t="s">
        <v>2099</v>
      </c>
      <c r="T97"/>
    </row>
    <row r="98" spans="1:20" ht="65.099999999999994" customHeight="1" x14ac:dyDescent="0.25">
      <c r="A98" s="12" t="s">
        <v>2100</v>
      </c>
      <c r="B98" s="12" t="s">
        <v>94</v>
      </c>
      <c r="C98" s="12" t="s">
        <v>95</v>
      </c>
      <c r="D98" s="12"/>
      <c r="E98" s="12" t="s">
        <v>1862</v>
      </c>
      <c r="F98" s="12" t="s">
        <v>56</v>
      </c>
      <c r="G98" s="12" t="s">
        <v>2101</v>
      </c>
      <c r="H98" s="12"/>
      <c r="I98" s="12"/>
      <c r="J98" s="12" t="s">
        <v>1885</v>
      </c>
      <c r="K98" s="45">
        <v>45579</v>
      </c>
      <c r="L98" s="45">
        <v>45561</v>
      </c>
      <c r="M98" s="45">
        <v>45582</v>
      </c>
      <c r="N98" s="12" t="s">
        <v>59</v>
      </c>
      <c r="O98" s="12" t="s">
        <v>60</v>
      </c>
      <c r="P98" s="12"/>
      <c r="Q98" s="12"/>
      <c r="R98" s="12" t="s">
        <v>1886</v>
      </c>
      <c r="S98" s="12"/>
      <c r="T98"/>
    </row>
    <row r="99" spans="1:20" ht="39" customHeight="1" x14ac:dyDescent="0.25">
      <c r="A99" s="12" t="s">
        <v>2102</v>
      </c>
      <c r="B99" s="12" t="s">
        <v>94</v>
      </c>
      <c r="C99" s="12" t="s">
        <v>95</v>
      </c>
      <c r="D99" s="12" t="s">
        <v>224</v>
      </c>
      <c r="E99" s="12" t="s">
        <v>1862</v>
      </c>
      <c r="F99" s="12" t="s">
        <v>212</v>
      </c>
      <c r="G99" s="12" t="s">
        <v>2103</v>
      </c>
      <c r="H99" s="12"/>
      <c r="I99" s="12"/>
      <c r="J99" s="12" t="s">
        <v>90</v>
      </c>
      <c r="K99" s="45">
        <v>44728</v>
      </c>
      <c r="L99" s="45">
        <v>44728</v>
      </c>
      <c r="M99" s="45">
        <v>44733</v>
      </c>
      <c r="N99" s="12" t="s">
        <v>59</v>
      </c>
      <c r="O99" s="12" t="s">
        <v>60</v>
      </c>
      <c r="P99" s="12"/>
      <c r="Q99" s="12"/>
      <c r="R99" s="12" t="s">
        <v>1897</v>
      </c>
      <c r="S99" s="12" t="s">
        <v>2104</v>
      </c>
      <c r="T99"/>
    </row>
    <row r="100" spans="1:20" ht="26.1" customHeight="1" x14ac:dyDescent="0.25">
      <c r="A100" s="12" t="s">
        <v>2105</v>
      </c>
      <c r="B100" s="12" t="s">
        <v>94</v>
      </c>
      <c r="C100" s="12" t="s">
        <v>95</v>
      </c>
      <c r="D100" s="12" t="s">
        <v>55</v>
      </c>
      <c r="E100" s="12" t="s">
        <v>1862</v>
      </c>
      <c r="F100" s="12" t="s">
        <v>56</v>
      </c>
      <c r="G100" s="12" t="s">
        <v>1870</v>
      </c>
      <c r="H100" s="12"/>
      <c r="I100" s="12"/>
      <c r="J100" s="12"/>
      <c r="K100" s="45">
        <v>43216</v>
      </c>
      <c r="L100" s="45">
        <v>43216</v>
      </c>
      <c r="M100" s="45">
        <v>43216</v>
      </c>
      <c r="N100" s="12" t="s">
        <v>91</v>
      </c>
      <c r="O100" s="12" t="s">
        <v>60</v>
      </c>
      <c r="P100" s="12"/>
      <c r="Q100" s="12"/>
      <c r="R100" s="12" t="s">
        <v>1871</v>
      </c>
      <c r="S100" s="12" t="s">
        <v>2106</v>
      </c>
      <c r="T100"/>
    </row>
    <row r="101" spans="1:20" ht="117" customHeight="1" x14ac:dyDescent="0.25">
      <c r="A101" s="12" t="s">
        <v>2107</v>
      </c>
      <c r="B101" s="12" t="s">
        <v>94</v>
      </c>
      <c r="C101" s="12" t="s">
        <v>95</v>
      </c>
      <c r="D101" s="12" t="s">
        <v>126</v>
      </c>
      <c r="E101" s="12" t="s">
        <v>1883</v>
      </c>
      <c r="F101" s="12" t="s">
        <v>56</v>
      </c>
      <c r="G101" s="12" t="s">
        <v>2108</v>
      </c>
      <c r="H101" s="12"/>
      <c r="I101" s="12" t="s">
        <v>2109</v>
      </c>
      <c r="J101" s="12"/>
      <c r="K101" s="45">
        <v>42736</v>
      </c>
      <c r="L101" s="45">
        <v>42606</v>
      </c>
      <c r="M101" s="45">
        <v>42607</v>
      </c>
      <c r="N101" s="12" t="s">
        <v>91</v>
      </c>
      <c r="O101" s="12" t="s">
        <v>60</v>
      </c>
      <c r="P101" s="12"/>
      <c r="Q101" s="12"/>
      <c r="R101" s="12" t="s">
        <v>1864</v>
      </c>
      <c r="S101" s="12" t="s">
        <v>2110</v>
      </c>
      <c r="T101"/>
    </row>
    <row r="102" spans="1:20" ht="104.1" customHeight="1" x14ac:dyDescent="0.25">
      <c r="A102" s="12" t="s">
        <v>2111</v>
      </c>
      <c r="B102" s="12" t="s">
        <v>94</v>
      </c>
      <c r="C102" s="12" t="s">
        <v>95</v>
      </c>
      <c r="D102" s="12" t="s">
        <v>252</v>
      </c>
      <c r="E102" s="12" t="s">
        <v>1862</v>
      </c>
      <c r="F102" s="12" t="s">
        <v>56</v>
      </c>
      <c r="G102" s="12" t="s">
        <v>2112</v>
      </c>
      <c r="H102" s="12"/>
      <c r="I102" s="12"/>
      <c r="J102" s="12" t="s">
        <v>1885</v>
      </c>
      <c r="K102" s="45">
        <v>45561</v>
      </c>
      <c r="L102" s="45">
        <v>45561</v>
      </c>
      <c r="M102" s="45">
        <v>45582</v>
      </c>
      <c r="N102" s="12" t="s">
        <v>59</v>
      </c>
      <c r="O102" s="12" t="s">
        <v>60</v>
      </c>
      <c r="P102" s="12"/>
      <c r="Q102" s="12"/>
      <c r="R102" s="12" t="s">
        <v>1942</v>
      </c>
      <c r="S102" s="12"/>
      <c r="T102"/>
    </row>
    <row r="103" spans="1:20" ht="143.1" customHeight="1" x14ac:dyDescent="0.25">
      <c r="A103" s="12" t="s">
        <v>2113</v>
      </c>
      <c r="B103" s="12" t="s">
        <v>94</v>
      </c>
      <c r="C103" s="12" t="s">
        <v>95</v>
      </c>
      <c r="D103" s="12" t="s">
        <v>1142</v>
      </c>
      <c r="E103" s="12" t="s">
        <v>1862</v>
      </c>
      <c r="F103" s="12" t="s">
        <v>56</v>
      </c>
      <c r="G103" s="12" t="s">
        <v>2114</v>
      </c>
      <c r="H103" s="12"/>
      <c r="I103" s="12"/>
      <c r="J103" s="12" t="s">
        <v>1885</v>
      </c>
      <c r="K103" s="45">
        <v>45679</v>
      </c>
      <c r="L103" s="45">
        <v>45679</v>
      </c>
      <c r="M103" s="45">
        <v>45679</v>
      </c>
      <c r="N103" s="12" t="s">
        <v>59</v>
      </c>
      <c r="O103" s="12" t="s">
        <v>60</v>
      </c>
      <c r="P103" s="12"/>
      <c r="Q103" s="12"/>
      <c r="R103" s="12" t="s">
        <v>1986</v>
      </c>
      <c r="S103" s="12"/>
      <c r="T103"/>
    </row>
    <row r="104" spans="1:20" ht="90.95" customHeight="1" x14ac:dyDescent="0.25">
      <c r="A104" s="12" t="s">
        <v>2115</v>
      </c>
      <c r="B104" s="12" t="s">
        <v>94</v>
      </c>
      <c r="C104" s="12" t="s">
        <v>95</v>
      </c>
      <c r="D104" s="12" t="s">
        <v>224</v>
      </c>
      <c r="E104" s="12" t="s">
        <v>1862</v>
      </c>
      <c r="F104" s="12" t="s">
        <v>56</v>
      </c>
      <c r="G104" s="12" t="s">
        <v>2116</v>
      </c>
      <c r="H104" s="12"/>
      <c r="I104" s="12"/>
      <c r="J104" s="12" t="s">
        <v>1381</v>
      </c>
      <c r="K104" s="45">
        <v>44728</v>
      </c>
      <c r="L104" s="45">
        <v>44728</v>
      </c>
      <c r="M104" s="45">
        <v>44733</v>
      </c>
      <c r="N104" s="12" t="s">
        <v>91</v>
      </c>
      <c r="O104" s="12" t="s">
        <v>60</v>
      </c>
      <c r="P104" s="12"/>
      <c r="Q104" s="12"/>
      <c r="R104" s="12" t="s">
        <v>1986</v>
      </c>
      <c r="S104" s="12" t="s">
        <v>2117</v>
      </c>
      <c r="T104"/>
    </row>
    <row r="105" spans="1:20" ht="65.099999999999994" customHeight="1" x14ac:dyDescent="0.25">
      <c r="A105" s="12" t="s">
        <v>2118</v>
      </c>
      <c r="B105" s="12" t="s">
        <v>94</v>
      </c>
      <c r="C105" s="12" t="s">
        <v>95</v>
      </c>
      <c r="D105" s="12" t="s">
        <v>220</v>
      </c>
      <c r="E105" s="12" t="s">
        <v>1862</v>
      </c>
      <c r="F105" s="12" t="s">
        <v>56</v>
      </c>
      <c r="G105" s="12" t="s">
        <v>2119</v>
      </c>
      <c r="H105" s="12"/>
      <c r="I105" s="12"/>
      <c r="J105" s="12" t="s">
        <v>1381</v>
      </c>
      <c r="K105" s="45">
        <v>45079</v>
      </c>
      <c r="L105" s="45">
        <v>45079</v>
      </c>
      <c r="M105" s="45">
        <v>45079</v>
      </c>
      <c r="N105" s="12" t="s">
        <v>59</v>
      </c>
      <c r="O105" s="12" t="s">
        <v>60</v>
      </c>
      <c r="P105" s="12"/>
      <c r="Q105" s="12"/>
      <c r="R105" s="12" t="s">
        <v>1978</v>
      </c>
      <c r="S105" s="12" t="s">
        <v>2080</v>
      </c>
      <c r="T105"/>
    </row>
    <row r="106" spans="1:20" ht="78" customHeight="1" x14ac:dyDescent="0.25">
      <c r="A106" s="12" t="s">
        <v>2120</v>
      </c>
      <c r="B106" s="12" t="s">
        <v>94</v>
      </c>
      <c r="C106" s="12" t="s">
        <v>95</v>
      </c>
      <c r="D106" s="12" t="s">
        <v>236</v>
      </c>
      <c r="E106" s="12" t="s">
        <v>1862</v>
      </c>
      <c r="F106" s="12" t="s">
        <v>56</v>
      </c>
      <c r="G106" s="12" t="s">
        <v>1866</v>
      </c>
      <c r="H106" s="12"/>
      <c r="I106" s="12"/>
      <c r="J106" s="12" t="s">
        <v>1867</v>
      </c>
      <c r="K106" s="45">
        <v>43529</v>
      </c>
      <c r="L106" s="45">
        <v>43529</v>
      </c>
      <c r="M106" s="45">
        <v>43528</v>
      </c>
      <c r="N106" s="12" t="s">
        <v>59</v>
      </c>
      <c r="O106" s="12" t="s">
        <v>60</v>
      </c>
      <c r="P106" s="12"/>
      <c r="Q106" s="12"/>
      <c r="R106" s="12" t="s">
        <v>1868</v>
      </c>
      <c r="S106" s="12" t="s">
        <v>2121</v>
      </c>
      <c r="T106"/>
    </row>
    <row r="107" spans="1:20" ht="39" customHeight="1" x14ac:dyDescent="0.25">
      <c r="A107" s="12" t="s">
        <v>2122</v>
      </c>
      <c r="B107" s="12" t="s">
        <v>94</v>
      </c>
      <c r="C107" s="12" t="s">
        <v>95</v>
      </c>
      <c r="D107" s="12" t="s">
        <v>228</v>
      </c>
      <c r="E107" s="12" t="s">
        <v>1862</v>
      </c>
      <c r="F107" s="12" t="s">
        <v>212</v>
      </c>
      <c r="G107" s="12" t="s">
        <v>2123</v>
      </c>
      <c r="H107" s="12"/>
      <c r="I107" s="12"/>
      <c r="J107" s="12"/>
      <c r="K107" s="45">
        <v>44379</v>
      </c>
      <c r="L107" s="45">
        <v>44379</v>
      </c>
      <c r="M107" s="45">
        <v>44393</v>
      </c>
      <c r="N107" s="12" t="s">
        <v>59</v>
      </c>
      <c r="O107" s="12" t="s">
        <v>60</v>
      </c>
      <c r="P107" s="12"/>
      <c r="Q107" s="12"/>
      <c r="R107" s="12" t="s">
        <v>1894</v>
      </c>
      <c r="S107" s="12" t="s">
        <v>2097</v>
      </c>
      <c r="T107"/>
    </row>
    <row r="108" spans="1:20" ht="104.1" customHeight="1" x14ac:dyDescent="0.25">
      <c r="A108" s="12" t="s">
        <v>2124</v>
      </c>
      <c r="B108" s="12" t="s">
        <v>94</v>
      </c>
      <c r="C108" s="12" t="s">
        <v>95</v>
      </c>
      <c r="D108" s="12" t="s">
        <v>236</v>
      </c>
      <c r="E108" s="12" t="s">
        <v>1862</v>
      </c>
      <c r="F108" s="12" t="s">
        <v>56</v>
      </c>
      <c r="G108" s="12" t="s">
        <v>1873</v>
      </c>
      <c r="H108" s="12"/>
      <c r="I108" s="12"/>
      <c r="J108" s="12" t="s">
        <v>1867</v>
      </c>
      <c r="K108" s="45">
        <v>43529</v>
      </c>
      <c r="L108" s="45">
        <v>43529</v>
      </c>
      <c r="M108" s="45">
        <v>43528</v>
      </c>
      <c r="N108" s="12" t="s">
        <v>59</v>
      </c>
      <c r="O108" s="12" t="s">
        <v>60</v>
      </c>
      <c r="P108" s="12"/>
      <c r="Q108" s="12"/>
      <c r="R108" s="12" t="s">
        <v>1874</v>
      </c>
      <c r="S108" s="12" t="s">
        <v>2125</v>
      </c>
      <c r="T108"/>
    </row>
    <row r="109" spans="1:20" ht="26.1" customHeight="1" x14ac:dyDescent="0.25">
      <c r="A109" s="12" t="s">
        <v>2126</v>
      </c>
      <c r="B109" s="12" t="s">
        <v>94</v>
      </c>
      <c r="C109" s="12" t="s">
        <v>95</v>
      </c>
      <c r="D109" s="12" t="s">
        <v>228</v>
      </c>
      <c r="E109" s="12" t="s">
        <v>1862</v>
      </c>
      <c r="F109" s="12" t="s">
        <v>212</v>
      </c>
      <c r="G109" s="12" t="s">
        <v>2127</v>
      </c>
      <c r="H109" s="12"/>
      <c r="I109" s="12"/>
      <c r="J109" s="12"/>
      <c r="K109" s="45">
        <v>44379</v>
      </c>
      <c r="L109" s="45">
        <v>44379</v>
      </c>
      <c r="M109" s="45">
        <v>44393</v>
      </c>
      <c r="N109" s="12" t="s">
        <v>59</v>
      </c>
      <c r="O109" s="12" t="s">
        <v>60</v>
      </c>
      <c r="P109" s="12"/>
      <c r="Q109" s="12"/>
      <c r="R109" s="12" t="s">
        <v>1922</v>
      </c>
      <c r="S109" s="12" t="s">
        <v>2097</v>
      </c>
      <c r="T109"/>
    </row>
    <row r="110" spans="1:20" ht="78" customHeight="1" x14ac:dyDescent="0.25">
      <c r="A110" s="12" t="s">
        <v>2128</v>
      </c>
      <c r="B110" s="12" t="s">
        <v>94</v>
      </c>
      <c r="C110" s="12" t="s">
        <v>95</v>
      </c>
      <c r="D110" s="12" t="s">
        <v>252</v>
      </c>
      <c r="E110" s="12" t="s">
        <v>1862</v>
      </c>
      <c r="F110" s="12" t="s">
        <v>56</v>
      </c>
      <c r="G110" s="12" t="s">
        <v>2129</v>
      </c>
      <c r="H110" s="12" t="s">
        <v>2130</v>
      </c>
      <c r="I110" s="12"/>
      <c r="J110" s="12" t="s">
        <v>2131</v>
      </c>
      <c r="K110" s="45">
        <v>45397</v>
      </c>
      <c r="L110" s="45">
        <v>45397</v>
      </c>
      <c r="M110" s="45">
        <v>45399</v>
      </c>
      <c r="N110" s="12" t="s">
        <v>59</v>
      </c>
      <c r="O110" s="12" t="s">
        <v>60</v>
      </c>
      <c r="P110" s="12"/>
      <c r="Q110" s="12"/>
      <c r="R110" s="12" t="s">
        <v>1963</v>
      </c>
      <c r="S110" s="12" t="s">
        <v>2132</v>
      </c>
      <c r="T110"/>
    </row>
    <row r="111" spans="1:20" ht="195" customHeight="1" x14ac:dyDescent="0.25">
      <c r="A111" s="12" t="s">
        <v>2133</v>
      </c>
      <c r="B111" s="12" t="s">
        <v>97</v>
      </c>
      <c r="C111" s="12" t="s">
        <v>1172</v>
      </c>
      <c r="D111" s="12" t="s">
        <v>228</v>
      </c>
      <c r="E111" s="12" t="s">
        <v>1883</v>
      </c>
      <c r="F111" s="12" t="s">
        <v>212</v>
      </c>
      <c r="G111" s="12" t="s">
        <v>2134</v>
      </c>
      <c r="H111" s="12"/>
      <c r="I111" s="12"/>
      <c r="J111" s="12"/>
      <c r="K111" s="45">
        <v>44440</v>
      </c>
      <c r="L111" s="45">
        <v>44423</v>
      </c>
      <c r="M111" s="45">
        <v>44426</v>
      </c>
      <c r="N111" s="12" t="s">
        <v>59</v>
      </c>
      <c r="O111" s="12" t="s">
        <v>60</v>
      </c>
      <c r="P111" s="12"/>
      <c r="Q111" s="12" t="s">
        <v>2135</v>
      </c>
      <c r="R111" s="12" t="s">
        <v>1894</v>
      </c>
      <c r="S111" s="12"/>
      <c r="T111"/>
    </row>
    <row r="112" spans="1:20" ht="90.95" customHeight="1" x14ac:dyDescent="0.25">
      <c r="A112" s="12" t="s">
        <v>2136</v>
      </c>
      <c r="B112" s="12" t="s">
        <v>97</v>
      </c>
      <c r="C112" s="12" t="s">
        <v>1172</v>
      </c>
      <c r="D112" s="12" t="s">
        <v>220</v>
      </c>
      <c r="E112" s="12" t="s">
        <v>1883</v>
      </c>
      <c r="F112" s="12" t="s">
        <v>212</v>
      </c>
      <c r="G112" s="12" t="s">
        <v>2137</v>
      </c>
      <c r="H112" s="12" t="s">
        <v>2138</v>
      </c>
      <c r="I112" s="12"/>
      <c r="J112" s="12" t="s">
        <v>2139</v>
      </c>
      <c r="K112" s="45">
        <v>45142</v>
      </c>
      <c r="L112" s="45">
        <v>45050</v>
      </c>
      <c r="M112" s="45">
        <v>45138</v>
      </c>
      <c r="N112" s="12" t="s">
        <v>59</v>
      </c>
      <c r="O112" s="12" t="s">
        <v>60</v>
      </c>
      <c r="P112" s="12"/>
      <c r="Q112" s="12"/>
      <c r="R112" s="12" t="s">
        <v>1978</v>
      </c>
      <c r="S112" s="12"/>
      <c r="T112"/>
    </row>
    <row r="113" spans="1:20" ht="78" customHeight="1" x14ac:dyDescent="0.25">
      <c r="A113" s="12" t="s">
        <v>2140</v>
      </c>
      <c r="B113" s="12" t="s">
        <v>97</v>
      </c>
      <c r="C113" s="12" t="s">
        <v>523</v>
      </c>
      <c r="D113" s="12" t="s">
        <v>67</v>
      </c>
      <c r="E113" s="12" t="s">
        <v>1883</v>
      </c>
      <c r="F113" s="12" t="s">
        <v>56</v>
      </c>
      <c r="G113" s="12" t="s">
        <v>2141</v>
      </c>
      <c r="H113" s="12"/>
      <c r="I113" s="12"/>
      <c r="J113" s="12" t="s">
        <v>90</v>
      </c>
      <c r="K113" s="45">
        <v>42094</v>
      </c>
      <c r="L113" s="45"/>
      <c r="M113" s="45">
        <v>41640</v>
      </c>
      <c r="N113" s="12" t="s">
        <v>59</v>
      </c>
      <c r="O113" s="12" t="s">
        <v>60</v>
      </c>
      <c r="P113" s="12"/>
      <c r="Q113" s="12"/>
      <c r="R113" s="12" t="s">
        <v>2142</v>
      </c>
      <c r="S113" s="12" t="s">
        <v>2143</v>
      </c>
      <c r="T113"/>
    </row>
    <row r="114" spans="1:20" ht="78" customHeight="1" x14ac:dyDescent="0.25">
      <c r="A114" s="12" t="s">
        <v>2144</v>
      </c>
      <c r="B114" s="12" t="s">
        <v>97</v>
      </c>
      <c r="C114" s="12" t="s">
        <v>98</v>
      </c>
      <c r="D114" s="12" t="s">
        <v>83</v>
      </c>
      <c r="E114" s="12" t="s">
        <v>1883</v>
      </c>
      <c r="F114" s="12" t="s">
        <v>56</v>
      </c>
      <c r="G114" s="12" t="s">
        <v>1934</v>
      </c>
      <c r="H114" s="12" t="s">
        <v>1935</v>
      </c>
      <c r="I114" s="12"/>
      <c r="J114" s="12" t="s">
        <v>1880</v>
      </c>
      <c r="K114" s="45">
        <v>43191</v>
      </c>
      <c r="L114" s="45">
        <v>42942</v>
      </c>
      <c r="M114" s="45">
        <v>43202</v>
      </c>
      <c r="N114" s="12" t="s">
        <v>91</v>
      </c>
      <c r="O114" s="12" t="s">
        <v>60</v>
      </c>
      <c r="P114" s="12"/>
      <c r="Q114" s="12"/>
      <c r="R114" s="12" t="s">
        <v>1871</v>
      </c>
      <c r="S114" s="12"/>
      <c r="T114"/>
    </row>
    <row r="115" spans="1:20" ht="39" customHeight="1" x14ac:dyDescent="0.25">
      <c r="A115" s="12" t="s">
        <v>2145</v>
      </c>
      <c r="B115" s="12" t="s">
        <v>97</v>
      </c>
      <c r="C115" s="12" t="s">
        <v>1172</v>
      </c>
      <c r="D115" s="12" t="s">
        <v>236</v>
      </c>
      <c r="E115" s="12" t="s">
        <v>1883</v>
      </c>
      <c r="F115" s="12" t="s">
        <v>56</v>
      </c>
      <c r="G115" s="12" t="s">
        <v>1924</v>
      </c>
      <c r="H115" s="12"/>
      <c r="I115" s="12"/>
      <c r="J115" s="12" t="s">
        <v>1867</v>
      </c>
      <c r="K115" s="45">
        <v>43439</v>
      </c>
      <c r="L115" s="45">
        <v>43439</v>
      </c>
      <c r="M115" s="45">
        <v>43570</v>
      </c>
      <c r="N115" s="12" t="s">
        <v>59</v>
      </c>
      <c r="O115" s="12" t="s">
        <v>60</v>
      </c>
      <c r="P115" s="12"/>
      <c r="Q115" s="12"/>
      <c r="R115" s="12" t="s">
        <v>1868</v>
      </c>
      <c r="S115" s="12"/>
      <c r="T115"/>
    </row>
    <row r="116" spans="1:20" ht="39" customHeight="1" x14ac:dyDescent="0.25">
      <c r="A116" s="12" t="s">
        <v>2146</v>
      </c>
      <c r="B116" s="12" t="s">
        <v>97</v>
      </c>
      <c r="C116" s="12" t="s">
        <v>523</v>
      </c>
      <c r="D116" s="12" t="s">
        <v>224</v>
      </c>
      <c r="E116" s="12" t="s">
        <v>1862</v>
      </c>
      <c r="F116" s="12" t="s">
        <v>212</v>
      </c>
      <c r="G116" s="12" t="s">
        <v>2147</v>
      </c>
      <c r="H116" s="12" t="s">
        <v>2148</v>
      </c>
      <c r="I116" s="12"/>
      <c r="J116" s="12" t="s">
        <v>90</v>
      </c>
      <c r="K116" s="45">
        <v>44771</v>
      </c>
      <c r="L116" s="45">
        <v>44771</v>
      </c>
      <c r="M116" s="45">
        <v>44840</v>
      </c>
      <c r="N116" s="12" t="s">
        <v>59</v>
      </c>
      <c r="O116" s="12" t="s">
        <v>60</v>
      </c>
      <c r="P116" s="12"/>
      <c r="Q116" s="12"/>
      <c r="R116" s="12" t="s">
        <v>1910</v>
      </c>
      <c r="S116" s="12"/>
      <c r="T116"/>
    </row>
    <row r="117" spans="1:20" ht="39" customHeight="1" x14ac:dyDescent="0.25">
      <c r="A117" s="12" t="s">
        <v>2149</v>
      </c>
      <c r="B117" s="12" t="s">
        <v>97</v>
      </c>
      <c r="C117" s="12" t="s">
        <v>1172</v>
      </c>
      <c r="D117" s="12" t="s">
        <v>236</v>
      </c>
      <c r="E117" s="12" t="s">
        <v>1883</v>
      </c>
      <c r="F117" s="12" t="s">
        <v>56</v>
      </c>
      <c r="G117" s="12" t="s">
        <v>2150</v>
      </c>
      <c r="H117" s="12" t="s">
        <v>2020</v>
      </c>
      <c r="I117" s="12"/>
      <c r="J117" s="12" t="s">
        <v>1880</v>
      </c>
      <c r="K117" s="45">
        <v>43678</v>
      </c>
      <c r="L117" s="45">
        <v>43678</v>
      </c>
      <c r="M117" s="45">
        <v>43691</v>
      </c>
      <c r="N117" s="12" t="s">
        <v>59</v>
      </c>
      <c r="O117" s="12" t="s">
        <v>60</v>
      </c>
      <c r="P117" s="12"/>
      <c r="Q117" s="12"/>
      <c r="R117" s="12" t="s">
        <v>1877</v>
      </c>
      <c r="S117" s="12"/>
      <c r="T117"/>
    </row>
    <row r="118" spans="1:20" ht="39" customHeight="1" x14ac:dyDescent="0.25">
      <c r="A118" s="12" t="s">
        <v>2151</v>
      </c>
      <c r="B118" s="12" t="s">
        <v>97</v>
      </c>
      <c r="C118" s="12" t="s">
        <v>1172</v>
      </c>
      <c r="D118" s="12" t="s">
        <v>55</v>
      </c>
      <c r="E118" s="12" t="s">
        <v>1883</v>
      </c>
      <c r="F118" s="12" t="s">
        <v>56</v>
      </c>
      <c r="G118" s="12" t="s">
        <v>2152</v>
      </c>
      <c r="H118" s="12"/>
      <c r="I118" s="12"/>
      <c r="J118" s="12" t="s">
        <v>1867</v>
      </c>
      <c r="K118" s="45">
        <v>43435</v>
      </c>
      <c r="L118" s="45"/>
      <c r="M118" s="45">
        <v>43426</v>
      </c>
      <c r="N118" s="12" t="s">
        <v>59</v>
      </c>
      <c r="O118" s="12" t="s">
        <v>60</v>
      </c>
      <c r="P118" s="12"/>
      <c r="Q118" s="12"/>
      <c r="R118" s="12" t="s">
        <v>1874</v>
      </c>
      <c r="S118" s="12"/>
      <c r="T118"/>
    </row>
    <row r="119" spans="1:20" ht="39" customHeight="1" x14ac:dyDescent="0.25">
      <c r="A119" s="12" t="s">
        <v>2153</v>
      </c>
      <c r="B119" s="12" t="s">
        <v>97</v>
      </c>
      <c r="C119" s="12" t="s">
        <v>98</v>
      </c>
      <c r="D119" s="12" t="s">
        <v>126</v>
      </c>
      <c r="E119" s="12" t="s">
        <v>1883</v>
      </c>
      <c r="F119" s="12" t="s">
        <v>56</v>
      </c>
      <c r="G119" s="12" t="s">
        <v>1888</v>
      </c>
      <c r="H119" s="12" t="s">
        <v>2154</v>
      </c>
      <c r="I119" s="12"/>
      <c r="J119" s="12" t="s">
        <v>2001</v>
      </c>
      <c r="K119" s="45">
        <v>42736</v>
      </c>
      <c r="L119" s="45">
        <v>42723</v>
      </c>
      <c r="M119" s="45">
        <v>42723</v>
      </c>
      <c r="N119" s="12" t="s">
        <v>91</v>
      </c>
      <c r="O119" s="12" t="s">
        <v>60</v>
      </c>
      <c r="P119" s="12"/>
      <c r="Q119" s="12"/>
      <c r="R119" s="12" t="s">
        <v>1864</v>
      </c>
      <c r="S119" s="12"/>
      <c r="T119"/>
    </row>
    <row r="120" spans="1:20" ht="39" customHeight="1" x14ac:dyDescent="0.25">
      <c r="A120" s="12" t="s">
        <v>2155</v>
      </c>
      <c r="B120" s="12" t="s">
        <v>97</v>
      </c>
      <c r="C120" s="12" t="s">
        <v>523</v>
      </c>
      <c r="D120" s="12" t="s">
        <v>228</v>
      </c>
      <c r="E120" s="12" t="s">
        <v>1862</v>
      </c>
      <c r="F120" s="12" t="s">
        <v>56</v>
      </c>
      <c r="G120" s="12" t="s">
        <v>2156</v>
      </c>
      <c r="H120" s="12"/>
      <c r="I120" s="12"/>
      <c r="J120" s="12"/>
      <c r="K120" s="45">
        <v>44357</v>
      </c>
      <c r="L120" s="45">
        <v>44357</v>
      </c>
      <c r="M120" s="45">
        <v>44357</v>
      </c>
      <c r="N120" s="12" t="s">
        <v>59</v>
      </c>
      <c r="O120" s="12" t="s">
        <v>60</v>
      </c>
      <c r="P120" s="12"/>
      <c r="Q120" s="12"/>
      <c r="R120" s="12" t="s">
        <v>1904</v>
      </c>
      <c r="S120" s="12"/>
      <c r="T120"/>
    </row>
    <row r="121" spans="1:20" ht="78" customHeight="1" x14ac:dyDescent="0.25">
      <c r="A121" s="12" t="s">
        <v>2157</v>
      </c>
      <c r="B121" s="12" t="s">
        <v>97</v>
      </c>
      <c r="C121" s="12" t="s">
        <v>1172</v>
      </c>
      <c r="D121" s="12" t="s">
        <v>228</v>
      </c>
      <c r="E121" s="12" t="s">
        <v>1883</v>
      </c>
      <c r="F121" s="12" t="s">
        <v>212</v>
      </c>
      <c r="G121" s="12" t="s">
        <v>2158</v>
      </c>
      <c r="H121" s="12"/>
      <c r="I121" s="12"/>
      <c r="J121" s="12"/>
      <c r="K121" s="45">
        <v>44440</v>
      </c>
      <c r="L121" s="45">
        <v>44423</v>
      </c>
      <c r="M121" s="45">
        <v>44426</v>
      </c>
      <c r="N121" s="12" t="s">
        <v>59</v>
      </c>
      <c r="O121" s="12" t="s">
        <v>60</v>
      </c>
      <c r="P121" s="12"/>
      <c r="Q121" s="12" t="s">
        <v>2159</v>
      </c>
      <c r="R121" s="12" t="s">
        <v>1922</v>
      </c>
      <c r="S121" s="12"/>
      <c r="T121"/>
    </row>
    <row r="122" spans="1:20" ht="104.1" customHeight="1" x14ac:dyDescent="0.25">
      <c r="A122" s="12" t="s">
        <v>2160</v>
      </c>
      <c r="B122" s="12" t="s">
        <v>97</v>
      </c>
      <c r="C122" s="12" t="s">
        <v>98</v>
      </c>
      <c r="D122" s="12" t="s">
        <v>126</v>
      </c>
      <c r="E122" s="12" t="s">
        <v>1883</v>
      </c>
      <c r="F122" s="12" t="s">
        <v>56</v>
      </c>
      <c r="G122" s="12" t="s">
        <v>2034</v>
      </c>
      <c r="H122" s="12"/>
      <c r="I122" s="12"/>
      <c r="J122" s="12" t="s">
        <v>1867</v>
      </c>
      <c r="K122" s="45">
        <v>42489</v>
      </c>
      <c r="L122" s="45"/>
      <c r="M122" s="45">
        <v>42584</v>
      </c>
      <c r="N122" s="12" t="s">
        <v>91</v>
      </c>
      <c r="O122" s="12" t="s">
        <v>60</v>
      </c>
      <c r="P122" s="12"/>
      <c r="Q122" s="12"/>
      <c r="R122" s="12" t="s">
        <v>1881</v>
      </c>
      <c r="S122" s="12"/>
      <c r="T122"/>
    </row>
    <row r="123" spans="1:20" ht="104.1" customHeight="1" x14ac:dyDescent="0.25">
      <c r="A123" s="12" t="s">
        <v>2161</v>
      </c>
      <c r="B123" s="12" t="s">
        <v>97</v>
      </c>
      <c r="C123" s="12" t="s">
        <v>523</v>
      </c>
      <c r="D123" s="12" t="s">
        <v>67</v>
      </c>
      <c r="E123" s="12" t="s">
        <v>1883</v>
      </c>
      <c r="F123" s="12" t="s">
        <v>56</v>
      </c>
      <c r="G123" s="12" t="s">
        <v>2162</v>
      </c>
      <c r="H123" s="12"/>
      <c r="I123" s="12"/>
      <c r="J123" s="12"/>
      <c r="K123" s="45">
        <v>41890</v>
      </c>
      <c r="L123" s="45"/>
      <c r="M123" s="45">
        <v>41640</v>
      </c>
      <c r="N123" s="12" t="s">
        <v>59</v>
      </c>
      <c r="O123" s="12" t="s">
        <v>60</v>
      </c>
      <c r="P123" s="12"/>
      <c r="Q123" s="12"/>
      <c r="R123" s="12" t="s">
        <v>2163</v>
      </c>
      <c r="S123" s="12" t="s">
        <v>2164</v>
      </c>
      <c r="T123"/>
    </row>
    <row r="124" spans="1:20" ht="65.099999999999994" customHeight="1" x14ac:dyDescent="0.25">
      <c r="A124" s="12" t="s">
        <v>2165</v>
      </c>
      <c r="B124" s="12" t="s">
        <v>103</v>
      </c>
      <c r="C124" s="12" t="s">
        <v>104</v>
      </c>
      <c r="D124" s="12" t="s">
        <v>55</v>
      </c>
      <c r="E124" s="12" t="s">
        <v>1862</v>
      </c>
      <c r="F124" s="12" t="s">
        <v>56</v>
      </c>
      <c r="G124" s="12" t="s">
        <v>1873</v>
      </c>
      <c r="H124" s="12"/>
      <c r="I124" s="12"/>
      <c r="J124" s="12" t="s">
        <v>1867</v>
      </c>
      <c r="K124" s="45">
        <v>43437</v>
      </c>
      <c r="L124" s="45">
        <v>43437</v>
      </c>
      <c r="M124" s="45">
        <v>43437</v>
      </c>
      <c r="N124" s="12" t="s">
        <v>59</v>
      </c>
      <c r="O124" s="12" t="s">
        <v>60</v>
      </c>
      <c r="P124" s="12"/>
      <c r="Q124" s="12"/>
      <c r="R124" s="12" t="s">
        <v>1874</v>
      </c>
      <c r="S124" s="12"/>
      <c r="T124"/>
    </row>
    <row r="125" spans="1:20" ht="65.099999999999994" customHeight="1" x14ac:dyDescent="0.25">
      <c r="A125" s="12" t="s">
        <v>2166</v>
      </c>
      <c r="B125" s="12" t="s">
        <v>103</v>
      </c>
      <c r="C125" s="12" t="s">
        <v>104</v>
      </c>
      <c r="D125" s="12" t="s">
        <v>228</v>
      </c>
      <c r="E125" s="12" t="s">
        <v>1862</v>
      </c>
      <c r="F125" s="12" t="s">
        <v>212</v>
      </c>
      <c r="G125" s="12" t="s">
        <v>2167</v>
      </c>
      <c r="H125" s="12"/>
      <c r="I125" s="12"/>
      <c r="J125" s="12"/>
      <c r="K125" s="45"/>
      <c r="L125" s="45">
        <v>44438</v>
      </c>
      <c r="M125" s="45">
        <v>44438</v>
      </c>
      <c r="N125" s="12" t="s">
        <v>59</v>
      </c>
      <c r="O125" s="12" t="s">
        <v>60</v>
      </c>
      <c r="P125" s="12"/>
      <c r="Q125" s="12"/>
      <c r="R125" s="12" t="s">
        <v>1922</v>
      </c>
      <c r="S125" s="12"/>
      <c r="T125"/>
    </row>
    <row r="126" spans="1:20" ht="65.099999999999994" customHeight="1" x14ac:dyDescent="0.25">
      <c r="A126" s="12" t="s">
        <v>2168</v>
      </c>
      <c r="B126" s="12" t="s">
        <v>103</v>
      </c>
      <c r="C126" s="12" t="s">
        <v>104</v>
      </c>
      <c r="D126" s="12" t="s">
        <v>220</v>
      </c>
      <c r="E126" s="12" t="s">
        <v>1862</v>
      </c>
      <c r="F126" s="12" t="s">
        <v>1307</v>
      </c>
      <c r="G126" s="12" t="s">
        <v>2169</v>
      </c>
      <c r="H126" s="12"/>
      <c r="I126" s="12"/>
      <c r="J126" s="12" t="s">
        <v>2021</v>
      </c>
      <c r="K126" s="45">
        <v>45236</v>
      </c>
      <c r="L126" s="45">
        <v>45236</v>
      </c>
      <c r="M126" s="45">
        <v>45239</v>
      </c>
      <c r="N126" s="12" t="s">
        <v>59</v>
      </c>
      <c r="O126" s="12" t="s">
        <v>60</v>
      </c>
      <c r="P126" s="12"/>
      <c r="Q126" s="12"/>
      <c r="R126" s="12" t="s">
        <v>1956</v>
      </c>
      <c r="S126" s="12"/>
      <c r="T126"/>
    </row>
    <row r="127" spans="1:20" ht="65.099999999999994" customHeight="1" x14ac:dyDescent="0.25">
      <c r="A127" s="12" t="s">
        <v>2170</v>
      </c>
      <c r="B127" s="12" t="s">
        <v>103</v>
      </c>
      <c r="C127" s="12" t="s">
        <v>104</v>
      </c>
      <c r="D127" s="12" t="s">
        <v>236</v>
      </c>
      <c r="E127" s="12" t="s">
        <v>1862</v>
      </c>
      <c r="F127" s="12" t="s">
        <v>56</v>
      </c>
      <c r="G127" s="12" t="s">
        <v>1866</v>
      </c>
      <c r="H127" s="12"/>
      <c r="I127" s="12"/>
      <c r="J127" s="12" t="s">
        <v>1867</v>
      </c>
      <c r="K127" s="45">
        <v>43570</v>
      </c>
      <c r="L127" s="45">
        <v>43570</v>
      </c>
      <c r="M127" s="45">
        <v>43570</v>
      </c>
      <c r="N127" s="12" t="s">
        <v>59</v>
      </c>
      <c r="O127" s="12" t="s">
        <v>60</v>
      </c>
      <c r="P127" s="12"/>
      <c r="Q127" s="12"/>
      <c r="R127" s="12" t="s">
        <v>1868</v>
      </c>
      <c r="S127" s="12"/>
      <c r="T127"/>
    </row>
    <row r="128" spans="1:20" ht="51.95" customHeight="1" x14ac:dyDescent="0.25">
      <c r="A128" s="12" t="s">
        <v>2171</v>
      </c>
      <c r="B128" s="12" t="s">
        <v>103</v>
      </c>
      <c r="C128" s="12" t="s">
        <v>104</v>
      </c>
      <c r="D128" s="12" t="s">
        <v>252</v>
      </c>
      <c r="E128" s="12" t="s">
        <v>1862</v>
      </c>
      <c r="F128" s="12" t="s">
        <v>212</v>
      </c>
      <c r="G128" s="12" t="s">
        <v>2172</v>
      </c>
      <c r="H128" s="12"/>
      <c r="I128" s="12"/>
      <c r="J128" s="12" t="s">
        <v>1885</v>
      </c>
      <c r="K128" s="45"/>
      <c r="L128" s="45">
        <v>45579</v>
      </c>
      <c r="M128" s="45">
        <v>45579</v>
      </c>
      <c r="N128" s="12" t="s">
        <v>59</v>
      </c>
      <c r="O128" s="12" t="s">
        <v>60</v>
      </c>
      <c r="P128" s="12"/>
      <c r="Q128" s="12"/>
      <c r="R128" s="12" t="s">
        <v>1942</v>
      </c>
      <c r="S128" s="12"/>
      <c r="T128"/>
    </row>
    <row r="129" spans="1:20" ht="90.95" customHeight="1" x14ac:dyDescent="0.25">
      <c r="A129" s="12" t="s">
        <v>2173</v>
      </c>
      <c r="B129" s="12" t="s">
        <v>103</v>
      </c>
      <c r="C129" s="12" t="s">
        <v>104</v>
      </c>
      <c r="D129" s="12" t="s">
        <v>228</v>
      </c>
      <c r="E129" s="12" t="s">
        <v>1862</v>
      </c>
      <c r="F129" s="12" t="s">
        <v>212</v>
      </c>
      <c r="G129" s="12" t="s">
        <v>2174</v>
      </c>
      <c r="H129" s="12"/>
      <c r="I129" s="12"/>
      <c r="J129" s="12"/>
      <c r="K129" s="45"/>
      <c r="L129" s="45">
        <v>44438</v>
      </c>
      <c r="M129" s="45">
        <v>44438</v>
      </c>
      <c r="N129" s="12" t="s">
        <v>59</v>
      </c>
      <c r="O129" s="12" t="s">
        <v>60</v>
      </c>
      <c r="P129" s="12"/>
      <c r="Q129" s="12"/>
      <c r="R129" s="12" t="s">
        <v>1938</v>
      </c>
      <c r="S129" s="12"/>
      <c r="T129"/>
    </row>
    <row r="130" spans="1:20" ht="90.95" customHeight="1" x14ac:dyDescent="0.25">
      <c r="A130" s="12" t="s">
        <v>2175</v>
      </c>
      <c r="B130" s="12" t="s">
        <v>103</v>
      </c>
      <c r="C130" s="12" t="s">
        <v>104</v>
      </c>
      <c r="D130" s="12" t="s">
        <v>252</v>
      </c>
      <c r="E130" s="12" t="s">
        <v>1862</v>
      </c>
      <c r="F130" s="12" t="s">
        <v>56</v>
      </c>
      <c r="G130" s="12" t="s">
        <v>2176</v>
      </c>
      <c r="H130" s="12"/>
      <c r="I130" s="12"/>
      <c r="J130" s="12" t="s">
        <v>915</v>
      </c>
      <c r="K130" s="45">
        <v>45404</v>
      </c>
      <c r="L130" s="45">
        <v>45404</v>
      </c>
      <c r="M130" s="45">
        <v>45426</v>
      </c>
      <c r="N130" s="12" t="s">
        <v>59</v>
      </c>
      <c r="O130" s="12" t="s">
        <v>60</v>
      </c>
      <c r="P130" s="12"/>
      <c r="Q130" s="12"/>
      <c r="R130" s="12"/>
      <c r="S130" s="12"/>
      <c r="T130"/>
    </row>
    <row r="131" spans="1:20" ht="104.1" customHeight="1" x14ac:dyDescent="0.25">
      <c r="A131" s="12" t="s">
        <v>2177</v>
      </c>
      <c r="B131" s="12" t="s">
        <v>103</v>
      </c>
      <c r="C131" s="12" t="s">
        <v>104</v>
      </c>
      <c r="D131" s="12" t="s">
        <v>252</v>
      </c>
      <c r="E131" s="12" t="s">
        <v>1862</v>
      </c>
      <c r="F131" s="12" t="s">
        <v>56</v>
      </c>
      <c r="G131" s="12" t="s">
        <v>2178</v>
      </c>
      <c r="H131" s="12"/>
      <c r="I131" s="12"/>
      <c r="J131" s="12" t="s">
        <v>915</v>
      </c>
      <c r="K131" s="45">
        <v>45404</v>
      </c>
      <c r="L131" s="45">
        <v>45404</v>
      </c>
      <c r="M131" s="45">
        <v>45426</v>
      </c>
      <c r="N131" s="12" t="s">
        <v>59</v>
      </c>
      <c r="O131" s="12" t="s">
        <v>60</v>
      </c>
      <c r="P131" s="12"/>
      <c r="Q131" s="12"/>
      <c r="R131" s="12" t="s">
        <v>1886</v>
      </c>
      <c r="S131" s="12"/>
      <c r="T131"/>
    </row>
    <row r="132" spans="1:20" ht="39" customHeight="1" x14ac:dyDescent="0.25">
      <c r="A132" s="12" t="s">
        <v>2179</v>
      </c>
      <c r="B132" s="12" t="s">
        <v>103</v>
      </c>
      <c r="C132" s="12" t="s">
        <v>104</v>
      </c>
      <c r="D132" s="12" t="s">
        <v>55</v>
      </c>
      <c r="E132" s="12" t="s">
        <v>1862</v>
      </c>
      <c r="F132" s="12" t="s">
        <v>56</v>
      </c>
      <c r="G132" s="12" t="s">
        <v>1870</v>
      </c>
      <c r="H132" s="12"/>
      <c r="I132" s="12"/>
      <c r="J132" s="12"/>
      <c r="K132" s="45">
        <v>43206</v>
      </c>
      <c r="L132" s="45">
        <v>43206</v>
      </c>
      <c r="M132" s="45">
        <v>43209</v>
      </c>
      <c r="N132" s="12" t="s">
        <v>91</v>
      </c>
      <c r="O132" s="12" t="s">
        <v>60</v>
      </c>
      <c r="P132" s="12"/>
      <c r="Q132" s="12"/>
      <c r="R132" s="12" t="s">
        <v>1871</v>
      </c>
      <c r="S132" s="12"/>
      <c r="T132"/>
    </row>
    <row r="133" spans="1:20" ht="104.1" customHeight="1" x14ac:dyDescent="0.25">
      <c r="A133" s="12" t="s">
        <v>2180</v>
      </c>
      <c r="B133" s="12" t="s">
        <v>103</v>
      </c>
      <c r="C133" s="12" t="s">
        <v>104</v>
      </c>
      <c r="D133" s="12" t="s">
        <v>220</v>
      </c>
      <c r="E133" s="12" t="s">
        <v>1862</v>
      </c>
      <c r="F133" s="12" t="s">
        <v>1307</v>
      </c>
      <c r="G133" s="12" t="s">
        <v>2181</v>
      </c>
      <c r="H133" s="12"/>
      <c r="I133" s="12"/>
      <c r="J133" s="12" t="s">
        <v>2021</v>
      </c>
      <c r="K133" s="45">
        <v>45236</v>
      </c>
      <c r="L133" s="45">
        <v>45236</v>
      </c>
      <c r="M133" s="45">
        <v>45239</v>
      </c>
      <c r="N133" s="12" t="s">
        <v>59</v>
      </c>
      <c r="O133" s="12" t="s">
        <v>60</v>
      </c>
      <c r="P133" s="12"/>
      <c r="Q133" s="12"/>
      <c r="R133" s="12" t="s">
        <v>1918</v>
      </c>
      <c r="S133" s="12"/>
      <c r="T133"/>
    </row>
    <row r="134" spans="1:20" ht="65.099999999999994" customHeight="1" x14ac:dyDescent="0.25">
      <c r="A134" s="12" t="s">
        <v>2182</v>
      </c>
      <c r="B134" s="12" t="s">
        <v>103</v>
      </c>
      <c r="C134" s="12" t="s">
        <v>104</v>
      </c>
      <c r="D134" s="12" t="s">
        <v>228</v>
      </c>
      <c r="E134" s="12" t="s">
        <v>1862</v>
      </c>
      <c r="F134" s="12" t="s">
        <v>212</v>
      </c>
      <c r="G134" s="12" t="s">
        <v>2183</v>
      </c>
      <c r="H134" s="12"/>
      <c r="I134" s="12"/>
      <c r="J134" s="12"/>
      <c r="K134" s="45"/>
      <c r="L134" s="45">
        <v>44438</v>
      </c>
      <c r="M134" s="45">
        <v>44438</v>
      </c>
      <c r="N134" s="12" t="s">
        <v>59</v>
      </c>
      <c r="O134" s="12" t="s">
        <v>60</v>
      </c>
      <c r="P134" s="12"/>
      <c r="Q134" s="12"/>
      <c r="R134" s="12" t="s">
        <v>1904</v>
      </c>
      <c r="S134" s="12"/>
      <c r="T134"/>
    </row>
    <row r="135" spans="1:20" ht="104.1" customHeight="1" x14ac:dyDescent="0.25">
      <c r="A135" s="12" t="s">
        <v>2184</v>
      </c>
      <c r="B135" s="12" t="s">
        <v>103</v>
      </c>
      <c r="C135" s="12" t="s">
        <v>104</v>
      </c>
      <c r="D135" s="12" t="s">
        <v>224</v>
      </c>
      <c r="E135" s="12" t="s">
        <v>1862</v>
      </c>
      <c r="F135" s="12" t="s">
        <v>212</v>
      </c>
      <c r="G135" s="12" t="s">
        <v>2185</v>
      </c>
      <c r="H135" s="12"/>
      <c r="I135" s="12"/>
      <c r="J135" s="12" t="s">
        <v>90</v>
      </c>
      <c r="K135" s="45">
        <v>44833</v>
      </c>
      <c r="L135" s="45">
        <v>44802</v>
      </c>
      <c r="M135" s="45">
        <v>44803</v>
      </c>
      <c r="N135" s="12" t="s">
        <v>59</v>
      </c>
      <c r="O135" s="12" t="s">
        <v>60</v>
      </c>
      <c r="P135" s="12"/>
      <c r="Q135" s="12"/>
      <c r="R135" s="12" t="s">
        <v>1910</v>
      </c>
      <c r="S135" s="12"/>
      <c r="T135"/>
    </row>
    <row r="136" spans="1:20" ht="39" customHeight="1" x14ac:dyDescent="0.25">
      <c r="A136" s="12" t="s">
        <v>2186</v>
      </c>
      <c r="B136" s="12" t="s">
        <v>103</v>
      </c>
      <c r="C136" s="12" t="s">
        <v>104</v>
      </c>
      <c r="D136" s="12" t="s">
        <v>126</v>
      </c>
      <c r="E136" s="12" t="s">
        <v>1862</v>
      </c>
      <c r="F136" s="12" t="s">
        <v>56</v>
      </c>
      <c r="G136" s="12" t="s">
        <v>1879</v>
      </c>
      <c r="H136" s="12"/>
      <c r="I136" s="12"/>
      <c r="J136" s="12" t="s">
        <v>1867</v>
      </c>
      <c r="K136" s="45">
        <v>42555</v>
      </c>
      <c r="L136" s="45">
        <v>42555</v>
      </c>
      <c r="M136" s="45">
        <v>42555</v>
      </c>
      <c r="N136" s="12" t="s">
        <v>91</v>
      </c>
      <c r="O136" s="12" t="s">
        <v>60</v>
      </c>
      <c r="P136" s="12"/>
      <c r="Q136" s="12"/>
      <c r="R136" s="12" t="s">
        <v>1881</v>
      </c>
      <c r="S136" s="12"/>
      <c r="T136"/>
    </row>
    <row r="137" spans="1:20" ht="129.94999999999999" customHeight="1" x14ac:dyDescent="0.25">
      <c r="A137" s="12" t="s">
        <v>2187</v>
      </c>
      <c r="B137" s="12" t="s">
        <v>103</v>
      </c>
      <c r="C137" s="12" t="s">
        <v>104</v>
      </c>
      <c r="D137" s="12" t="s">
        <v>236</v>
      </c>
      <c r="E137" s="12" t="s">
        <v>1862</v>
      </c>
      <c r="F137" s="12" t="s">
        <v>56</v>
      </c>
      <c r="G137" s="12" t="s">
        <v>1876</v>
      </c>
      <c r="H137" s="12"/>
      <c r="I137" s="12"/>
      <c r="J137" s="12" t="s">
        <v>1867</v>
      </c>
      <c r="K137" s="45">
        <v>43570</v>
      </c>
      <c r="L137" s="45">
        <v>43570</v>
      </c>
      <c r="M137" s="45">
        <v>43570</v>
      </c>
      <c r="N137" s="12" t="s">
        <v>59</v>
      </c>
      <c r="O137" s="12" t="s">
        <v>60</v>
      </c>
      <c r="P137" s="12"/>
      <c r="Q137" s="12"/>
      <c r="R137" s="12" t="s">
        <v>1877</v>
      </c>
      <c r="S137" s="12"/>
      <c r="T137"/>
    </row>
    <row r="138" spans="1:20" ht="143.1" customHeight="1" x14ac:dyDescent="0.25">
      <c r="A138" s="12" t="s">
        <v>2188</v>
      </c>
      <c r="B138" s="12" t="s">
        <v>103</v>
      </c>
      <c r="C138" s="12" t="s">
        <v>104</v>
      </c>
      <c r="D138" s="12" t="s">
        <v>228</v>
      </c>
      <c r="E138" s="12" t="s">
        <v>1862</v>
      </c>
      <c r="F138" s="12" t="s">
        <v>212</v>
      </c>
      <c r="G138" s="12" t="s">
        <v>2189</v>
      </c>
      <c r="H138" s="12"/>
      <c r="I138" s="12"/>
      <c r="J138" s="12"/>
      <c r="K138" s="45"/>
      <c r="L138" s="45">
        <v>44438</v>
      </c>
      <c r="M138" s="45">
        <v>44438</v>
      </c>
      <c r="N138" s="12" t="s">
        <v>59</v>
      </c>
      <c r="O138" s="12" t="s">
        <v>60</v>
      </c>
      <c r="P138" s="12"/>
      <c r="Q138" s="12"/>
      <c r="R138" s="12" t="s">
        <v>1894</v>
      </c>
      <c r="S138" s="12"/>
      <c r="T138"/>
    </row>
    <row r="139" spans="1:20" ht="143.1" customHeight="1" x14ac:dyDescent="0.25">
      <c r="A139" s="12" t="s">
        <v>2190</v>
      </c>
      <c r="B139" s="12" t="s">
        <v>106</v>
      </c>
      <c r="C139" s="12" t="s">
        <v>107</v>
      </c>
      <c r="D139" s="12" t="s">
        <v>236</v>
      </c>
      <c r="E139" s="12" t="s">
        <v>1862</v>
      </c>
      <c r="F139" s="12" t="s">
        <v>56</v>
      </c>
      <c r="G139" s="12" t="s">
        <v>1873</v>
      </c>
      <c r="H139" s="12"/>
      <c r="I139" s="12"/>
      <c r="J139" s="12" t="s">
        <v>1867</v>
      </c>
      <c r="K139" s="45">
        <v>43538</v>
      </c>
      <c r="L139" s="45">
        <v>43538</v>
      </c>
      <c r="M139" s="45">
        <v>43538</v>
      </c>
      <c r="N139" s="12" t="s">
        <v>59</v>
      </c>
      <c r="O139" s="12" t="s">
        <v>60</v>
      </c>
      <c r="P139" s="12"/>
      <c r="Q139" s="12"/>
      <c r="R139" s="12" t="s">
        <v>1874</v>
      </c>
      <c r="S139" s="12"/>
      <c r="T139"/>
    </row>
    <row r="140" spans="1:20" ht="117" customHeight="1" x14ac:dyDescent="0.25">
      <c r="A140" s="12" t="s">
        <v>2191</v>
      </c>
      <c r="B140" s="12" t="s">
        <v>106</v>
      </c>
      <c r="C140" s="12" t="s">
        <v>582</v>
      </c>
      <c r="D140" s="12" t="s">
        <v>220</v>
      </c>
      <c r="E140" s="12" t="s">
        <v>1883</v>
      </c>
      <c r="F140" s="12" t="s">
        <v>212</v>
      </c>
      <c r="G140" s="12" t="s">
        <v>2192</v>
      </c>
      <c r="H140" s="12" t="s">
        <v>2193</v>
      </c>
      <c r="I140" s="12"/>
      <c r="J140" s="12" t="s">
        <v>1867</v>
      </c>
      <c r="K140" s="45">
        <v>45291</v>
      </c>
      <c r="L140" s="45">
        <v>45279</v>
      </c>
      <c r="M140" s="45">
        <v>45280</v>
      </c>
      <c r="N140" s="12" t="s">
        <v>59</v>
      </c>
      <c r="O140" s="12" t="s">
        <v>60</v>
      </c>
      <c r="P140" s="12"/>
      <c r="Q140" s="12"/>
      <c r="R140" s="12" t="s">
        <v>2194</v>
      </c>
      <c r="S140" s="12" t="s">
        <v>1478</v>
      </c>
      <c r="T140"/>
    </row>
    <row r="141" spans="1:20" ht="39" customHeight="1" x14ac:dyDescent="0.25">
      <c r="A141" s="12" t="s">
        <v>2195</v>
      </c>
      <c r="B141" s="12" t="s">
        <v>106</v>
      </c>
      <c r="C141" s="12" t="s">
        <v>107</v>
      </c>
      <c r="D141" s="12" t="s">
        <v>83</v>
      </c>
      <c r="E141" s="12" t="s">
        <v>1862</v>
      </c>
      <c r="F141" s="12" t="s">
        <v>56</v>
      </c>
      <c r="G141" s="12" t="s">
        <v>1863</v>
      </c>
      <c r="H141" s="12"/>
      <c r="I141" s="12"/>
      <c r="J141" s="12"/>
      <c r="K141" s="45">
        <v>42751</v>
      </c>
      <c r="L141" s="45">
        <v>42751</v>
      </c>
      <c r="M141" s="45">
        <v>42751</v>
      </c>
      <c r="N141" s="12" t="s">
        <v>91</v>
      </c>
      <c r="O141" s="12" t="s">
        <v>215</v>
      </c>
      <c r="P141" s="12" t="s">
        <v>2196</v>
      </c>
      <c r="Q141" s="12"/>
      <c r="R141" s="12" t="s">
        <v>1864</v>
      </c>
      <c r="S141" s="12"/>
      <c r="T141"/>
    </row>
    <row r="142" spans="1:20" ht="168.95" customHeight="1" x14ac:dyDescent="0.25">
      <c r="A142" s="12" t="s">
        <v>2197</v>
      </c>
      <c r="B142" s="12" t="s">
        <v>106</v>
      </c>
      <c r="C142" s="12" t="s">
        <v>582</v>
      </c>
      <c r="D142" s="12" t="s">
        <v>220</v>
      </c>
      <c r="E142" s="12" t="s">
        <v>1883</v>
      </c>
      <c r="F142" s="12" t="s">
        <v>212</v>
      </c>
      <c r="G142" s="12" t="s">
        <v>2198</v>
      </c>
      <c r="H142" s="12" t="s">
        <v>2138</v>
      </c>
      <c r="I142" s="12" t="s">
        <v>2199</v>
      </c>
      <c r="J142" s="12" t="s">
        <v>1381</v>
      </c>
      <c r="K142" s="45">
        <v>45474</v>
      </c>
      <c r="L142" s="45">
        <v>45105</v>
      </c>
      <c r="M142" s="45">
        <v>45107</v>
      </c>
      <c r="N142" s="12" t="s">
        <v>59</v>
      </c>
      <c r="O142" s="12" t="s">
        <v>60</v>
      </c>
      <c r="P142" s="12"/>
      <c r="Q142" s="12"/>
      <c r="R142" s="12" t="s">
        <v>1978</v>
      </c>
      <c r="S142" s="12" t="s">
        <v>598</v>
      </c>
      <c r="T142"/>
    </row>
    <row r="143" spans="1:20" ht="104.1" customHeight="1" x14ac:dyDescent="0.25">
      <c r="A143" s="12" t="s">
        <v>2200</v>
      </c>
      <c r="B143" s="12" t="s">
        <v>106</v>
      </c>
      <c r="C143" s="12" t="s">
        <v>582</v>
      </c>
      <c r="D143" s="12" t="s">
        <v>236</v>
      </c>
      <c r="E143" s="12" t="s">
        <v>1862</v>
      </c>
      <c r="F143" s="12" t="s">
        <v>56</v>
      </c>
      <c r="G143" s="12" t="s">
        <v>1866</v>
      </c>
      <c r="H143" s="12"/>
      <c r="I143" s="12"/>
      <c r="J143" s="12" t="s">
        <v>1867</v>
      </c>
      <c r="K143" s="45">
        <v>43642</v>
      </c>
      <c r="L143" s="45"/>
      <c r="M143" s="45">
        <v>43642</v>
      </c>
      <c r="N143" s="12" t="s">
        <v>59</v>
      </c>
      <c r="O143" s="12" t="s">
        <v>60</v>
      </c>
      <c r="P143" s="12"/>
      <c r="Q143" s="12"/>
      <c r="R143" s="12" t="s">
        <v>1868</v>
      </c>
      <c r="S143" s="12"/>
      <c r="T143"/>
    </row>
    <row r="144" spans="1:20" ht="78" customHeight="1" x14ac:dyDescent="0.25">
      <c r="A144" s="12" t="s">
        <v>2201</v>
      </c>
      <c r="B144" s="12" t="s">
        <v>106</v>
      </c>
      <c r="C144" s="12" t="s">
        <v>582</v>
      </c>
      <c r="D144" s="12" t="s">
        <v>220</v>
      </c>
      <c r="E144" s="12" t="s">
        <v>1883</v>
      </c>
      <c r="F144" s="12" t="s">
        <v>56</v>
      </c>
      <c r="G144" s="12" t="s">
        <v>2202</v>
      </c>
      <c r="H144" s="12" t="s">
        <v>2203</v>
      </c>
      <c r="I144" s="12"/>
      <c r="J144" s="12" t="s">
        <v>2204</v>
      </c>
      <c r="K144" s="45">
        <v>45199</v>
      </c>
      <c r="L144" s="45">
        <v>45196</v>
      </c>
      <c r="M144" s="45">
        <v>45197</v>
      </c>
      <c r="N144" s="12" t="s">
        <v>59</v>
      </c>
      <c r="O144" s="12" t="s">
        <v>60</v>
      </c>
      <c r="P144" s="12"/>
      <c r="Q144" s="12"/>
      <c r="R144" s="12" t="s">
        <v>1918</v>
      </c>
      <c r="S144" s="12" t="s">
        <v>2205</v>
      </c>
      <c r="T144"/>
    </row>
    <row r="145" spans="1:20" ht="78" customHeight="1" x14ac:dyDescent="0.25">
      <c r="A145" s="12" t="s">
        <v>2206</v>
      </c>
      <c r="B145" s="12" t="s">
        <v>106</v>
      </c>
      <c r="C145" s="12" t="s">
        <v>582</v>
      </c>
      <c r="D145" s="12" t="s">
        <v>220</v>
      </c>
      <c r="E145" s="12" t="s">
        <v>1883</v>
      </c>
      <c r="F145" s="12" t="s">
        <v>56</v>
      </c>
      <c r="G145" s="12" t="s">
        <v>2207</v>
      </c>
      <c r="H145" s="12"/>
      <c r="I145" s="12"/>
      <c r="J145" s="12" t="s">
        <v>90</v>
      </c>
      <c r="K145" s="45">
        <v>44984</v>
      </c>
      <c r="L145" s="45">
        <v>44984</v>
      </c>
      <c r="M145" s="45">
        <v>44987</v>
      </c>
      <c r="N145" s="12" t="s">
        <v>59</v>
      </c>
      <c r="O145" s="12" t="s">
        <v>60</v>
      </c>
      <c r="P145" s="12"/>
      <c r="Q145" s="12"/>
      <c r="R145" s="12" t="s">
        <v>1975</v>
      </c>
      <c r="S145" s="12" t="s">
        <v>2208</v>
      </c>
      <c r="T145"/>
    </row>
    <row r="146" spans="1:20" ht="51.95" customHeight="1" x14ac:dyDescent="0.25">
      <c r="A146" s="12" t="s">
        <v>2209</v>
      </c>
      <c r="B146" s="12" t="s">
        <v>106</v>
      </c>
      <c r="C146" s="12" t="s">
        <v>107</v>
      </c>
      <c r="D146" s="12" t="s">
        <v>55</v>
      </c>
      <c r="E146" s="12" t="s">
        <v>1883</v>
      </c>
      <c r="F146" s="12" t="s">
        <v>56</v>
      </c>
      <c r="G146" s="12" t="s">
        <v>2210</v>
      </c>
      <c r="H146" s="12"/>
      <c r="I146" s="12"/>
      <c r="J146" s="12" t="s">
        <v>2001</v>
      </c>
      <c r="K146" s="45">
        <v>43466</v>
      </c>
      <c r="L146" s="45">
        <v>43187</v>
      </c>
      <c r="M146" s="45">
        <v>43194</v>
      </c>
      <c r="N146" s="12" t="s">
        <v>91</v>
      </c>
      <c r="O146" s="12" t="s">
        <v>60</v>
      </c>
      <c r="P146" s="12"/>
      <c r="Q146" s="12"/>
      <c r="R146" s="12" t="s">
        <v>1929</v>
      </c>
      <c r="S146" s="12" t="s">
        <v>2211</v>
      </c>
      <c r="T146"/>
    </row>
    <row r="147" spans="1:20" ht="90.95" customHeight="1" x14ac:dyDescent="0.25">
      <c r="A147" s="12" t="s">
        <v>2212</v>
      </c>
      <c r="B147" s="12" t="s">
        <v>106</v>
      </c>
      <c r="C147" s="12" t="s">
        <v>582</v>
      </c>
      <c r="D147" s="12" t="s">
        <v>228</v>
      </c>
      <c r="E147" s="12" t="s">
        <v>1883</v>
      </c>
      <c r="F147" s="12" t="s">
        <v>212</v>
      </c>
      <c r="G147" s="12" t="s">
        <v>2213</v>
      </c>
      <c r="H147" s="12" t="s">
        <v>2214</v>
      </c>
      <c r="I147" s="12" t="s">
        <v>2215</v>
      </c>
      <c r="J147" s="12"/>
      <c r="K147" s="45">
        <v>44450</v>
      </c>
      <c r="L147" s="45">
        <v>44427</v>
      </c>
      <c r="M147" s="45">
        <v>44427</v>
      </c>
      <c r="N147" s="12" t="s">
        <v>59</v>
      </c>
      <c r="O147" s="12" t="s">
        <v>60</v>
      </c>
      <c r="P147" s="12"/>
      <c r="Q147" s="12"/>
      <c r="R147" s="12" t="s">
        <v>1894</v>
      </c>
      <c r="S147" s="12" t="s">
        <v>2216</v>
      </c>
      <c r="T147"/>
    </row>
    <row r="148" spans="1:20" ht="104.1" customHeight="1" x14ac:dyDescent="0.25">
      <c r="A148" s="12" t="s">
        <v>2217</v>
      </c>
      <c r="B148" s="12" t="s">
        <v>106</v>
      </c>
      <c r="C148" s="12" t="s">
        <v>582</v>
      </c>
      <c r="D148" s="12" t="s">
        <v>228</v>
      </c>
      <c r="E148" s="12" t="s">
        <v>1883</v>
      </c>
      <c r="F148" s="12" t="s">
        <v>212</v>
      </c>
      <c r="G148" s="12" t="s">
        <v>2218</v>
      </c>
      <c r="H148" s="12" t="s">
        <v>2219</v>
      </c>
      <c r="I148" s="12" t="s">
        <v>2220</v>
      </c>
      <c r="J148" s="12"/>
      <c r="K148" s="45">
        <v>44450</v>
      </c>
      <c r="L148" s="45">
        <v>44427</v>
      </c>
      <c r="M148" s="45">
        <v>44427</v>
      </c>
      <c r="N148" s="12" t="s">
        <v>59</v>
      </c>
      <c r="O148" s="12" t="s">
        <v>60</v>
      </c>
      <c r="P148" s="12"/>
      <c r="Q148" s="12"/>
      <c r="R148" s="12" t="s">
        <v>1922</v>
      </c>
      <c r="S148" s="12" t="s">
        <v>2216</v>
      </c>
      <c r="T148"/>
    </row>
    <row r="149" spans="1:20" ht="39" customHeight="1" x14ac:dyDescent="0.25">
      <c r="A149" s="12" t="s">
        <v>2221</v>
      </c>
      <c r="B149" s="12" t="s">
        <v>106</v>
      </c>
      <c r="C149" s="12" t="s">
        <v>582</v>
      </c>
      <c r="D149" s="12" t="s">
        <v>220</v>
      </c>
      <c r="E149" s="12" t="s">
        <v>1883</v>
      </c>
      <c r="F149" s="12" t="s">
        <v>56</v>
      </c>
      <c r="G149" s="12" t="s">
        <v>2222</v>
      </c>
      <c r="H149" s="12"/>
      <c r="I149" s="12"/>
      <c r="J149" s="12" t="s">
        <v>90</v>
      </c>
      <c r="K149" s="45">
        <v>44984</v>
      </c>
      <c r="L149" s="45">
        <v>44984</v>
      </c>
      <c r="M149" s="45">
        <v>44987</v>
      </c>
      <c r="N149" s="12" t="s">
        <v>59</v>
      </c>
      <c r="O149" s="12" t="s">
        <v>60</v>
      </c>
      <c r="P149" s="12"/>
      <c r="Q149" s="12"/>
      <c r="R149" s="12" t="s">
        <v>1968</v>
      </c>
      <c r="S149" s="12" t="s">
        <v>2208</v>
      </c>
      <c r="T149"/>
    </row>
    <row r="150" spans="1:20" ht="39" customHeight="1" x14ac:dyDescent="0.25">
      <c r="A150" s="12" t="s">
        <v>2223</v>
      </c>
      <c r="B150" s="12" t="s">
        <v>106</v>
      </c>
      <c r="C150" s="12" t="s">
        <v>582</v>
      </c>
      <c r="D150" s="12" t="s">
        <v>55</v>
      </c>
      <c r="E150" s="12" t="s">
        <v>1883</v>
      </c>
      <c r="F150" s="12" t="s">
        <v>56</v>
      </c>
      <c r="G150" s="12" t="s">
        <v>2224</v>
      </c>
      <c r="H150" s="12" t="s">
        <v>2020</v>
      </c>
      <c r="I150" s="12"/>
      <c r="J150" s="12" t="s">
        <v>1867</v>
      </c>
      <c r="K150" s="45">
        <v>43465</v>
      </c>
      <c r="L150" s="45">
        <v>43454</v>
      </c>
      <c r="M150" s="45">
        <v>43455</v>
      </c>
      <c r="N150" s="12" t="s">
        <v>59</v>
      </c>
      <c r="O150" s="12" t="s">
        <v>60</v>
      </c>
      <c r="P150" s="12"/>
      <c r="Q150" s="12"/>
      <c r="R150" s="12" t="s">
        <v>1877</v>
      </c>
      <c r="S150" s="12" t="s">
        <v>2225</v>
      </c>
      <c r="T150"/>
    </row>
    <row r="151" spans="1:20" ht="78" customHeight="1" x14ac:dyDescent="0.25">
      <c r="A151" s="12" t="s">
        <v>2226</v>
      </c>
      <c r="B151" s="12" t="s">
        <v>109</v>
      </c>
      <c r="C151" s="12" t="s">
        <v>110</v>
      </c>
      <c r="D151" s="12" t="s">
        <v>126</v>
      </c>
      <c r="E151" s="12" t="s">
        <v>1883</v>
      </c>
      <c r="F151" s="12" t="s">
        <v>56</v>
      </c>
      <c r="G151" s="12" t="s">
        <v>2227</v>
      </c>
      <c r="H151" s="12"/>
      <c r="I151" s="12"/>
      <c r="J151" s="12" t="s">
        <v>2228</v>
      </c>
      <c r="K151" s="45">
        <v>42445</v>
      </c>
      <c r="L151" s="45">
        <v>42444</v>
      </c>
      <c r="M151" s="45">
        <v>42447</v>
      </c>
      <c r="N151" s="12" t="s">
        <v>91</v>
      </c>
      <c r="O151" s="12" t="s">
        <v>60</v>
      </c>
      <c r="P151" s="12"/>
      <c r="Q151" s="12"/>
      <c r="R151" s="12" t="s">
        <v>1881</v>
      </c>
      <c r="S151" s="12" t="s">
        <v>2229</v>
      </c>
      <c r="T151"/>
    </row>
    <row r="152" spans="1:20" ht="65.099999999999994" customHeight="1" x14ac:dyDescent="0.25">
      <c r="A152" s="12" t="s">
        <v>2230</v>
      </c>
      <c r="B152" s="12" t="s">
        <v>109</v>
      </c>
      <c r="C152" s="12" t="s">
        <v>110</v>
      </c>
      <c r="D152" s="12" t="s">
        <v>126</v>
      </c>
      <c r="E152" s="12" t="s">
        <v>1883</v>
      </c>
      <c r="F152" s="12" t="s">
        <v>56</v>
      </c>
      <c r="G152" s="12" t="s">
        <v>2231</v>
      </c>
      <c r="H152" s="12"/>
      <c r="I152" s="12"/>
      <c r="J152" s="12" t="s">
        <v>2001</v>
      </c>
      <c r="K152" s="45">
        <v>42644</v>
      </c>
      <c r="L152" s="45">
        <v>42644</v>
      </c>
      <c r="M152" s="45">
        <v>42725</v>
      </c>
      <c r="N152" s="12" t="s">
        <v>91</v>
      </c>
      <c r="O152" s="12" t="s">
        <v>60</v>
      </c>
      <c r="P152" s="12"/>
      <c r="Q152" s="12"/>
      <c r="R152" s="12" t="s">
        <v>1864</v>
      </c>
      <c r="S152" s="12" t="s">
        <v>2232</v>
      </c>
      <c r="T152"/>
    </row>
    <row r="153" spans="1:20" ht="104.1" customHeight="1" x14ac:dyDescent="0.25">
      <c r="A153" s="12" t="s">
        <v>2233</v>
      </c>
      <c r="B153" s="12" t="s">
        <v>109</v>
      </c>
      <c r="C153" s="12" t="s">
        <v>110</v>
      </c>
      <c r="D153" s="12" t="s">
        <v>224</v>
      </c>
      <c r="E153" s="12" t="s">
        <v>1883</v>
      </c>
      <c r="F153" s="12" t="s">
        <v>212</v>
      </c>
      <c r="G153" s="12" t="s">
        <v>2234</v>
      </c>
      <c r="H153" s="12" t="s">
        <v>2235</v>
      </c>
      <c r="I153" s="12"/>
      <c r="J153" s="12" t="s">
        <v>90</v>
      </c>
      <c r="K153" s="45">
        <v>44847</v>
      </c>
      <c r="L153" s="45">
        <v>44819</v>
      </c>
      <c r="M153" s="45">
        <v>44846</v>
      </c>
      <c r="N153" s="12" t="s">
        <v>59</v>
      </c>
      <c r="O153" s="12" t="s">
        <v>60</v>
      </c>
      <c r="P153" s="12"/>
      <c r="Q153" s="12"/>
      <c r="R153" s="12" t="s">
        <v>1981</v>
      </c>
      <c r="S153" s="12" t="s">
        <v>2236</v>
      </c>
      <c r="T153"/>
    </row>
    <row r="154" spans="1:20" ht="51.95" customHeight="1" x14ac:dyDescent="0.25">
      <c r="A154" s="12" t="s">
        <v>2237</v>
      </c>
      <c r="B154" s="12" t="s">
        <v>109</v>
      </c>
      <c r="C154" s="12" t="s">
        <v>110</v>
      </c>
      <c r="D154" s="12" t="s">
        <v>236</v>
      </c>
      <c r="E154" s="12" t="s">
        <v>1883</v>
      </c>
      <c r="F154" s="12" t="s">
        <v>56</v>
      </c>
      <c r="G154" s="12" t="s">
        <v>2238</v>
      </c>
      <c r="H154" s="12" t="s">
        <v>2239</v>
      </c>
      <c r="I154" s="12"/>
      <c r="J154" s="12" t="s">
        <v>1867</v>
      </c>
      <c r="K154" s="45">
        <v>43658</v>
      </c>
      <c r="L154" s="45">
        <v>43656</v>
      </c>
      <c r="M154" s="45">
        <v>43704</v>
      </c>
      <c r="N154" s="12" t="s">
        <v>59</v>
      </c>
      <c r="O154" s="12" t="s">
        <v>60</v>
      </c>
      <c r="P154" s="12"/>
      <c r="Q154" s="12"/>
      <c r="R154" s="12" t="s">
        <v>1877</v>
      </c>
      <c r="S154" s="12" t="s">
        <v>2240</v>
      </c>
      <c r="T154"/>
    </row>
    <row r="155" spans="1:20" ht="39" customHeight="1" x14ac:dyDescent="0.25">
      <c r="A155" s="12" t="s">
        <v>2241</v>
      </c>
      <c r="B155" s="12" t="s">
        <v>109</v>
      </c>
      <c r="C155" s="12" t="s">
        <v>110</v>
      </c>
      <c r="D155" s="12" t="s">
        <v>228</v>
      </c>
      <c r="E155" s="12" t="s">
        <v>1883</v>
      </c>
      <c r="F155" s="12" t="s">
        <v>212</v>
      </c>
      <c r="G155" s="12" t="s">
        <v>2242</v>
      </c>
      <c r="H155" s="12" t="s">
        <v>2243</v>
      </c>
      <c r="I155" s="12"/>
      <c r="J155" s="12"/>
      <c r="K155" s="45">
        <v>44379</v>
      </c>
      <c r="L155" s="45">
        <v>44377</v>
      </c>
      <c r="M155" s="45">
        <v>44383</v>
      </c>
      <c r="N155" s="12" t="s">
        <v>59</v>
      </c>
      <c r="O155" s="12" t="s">
        <v>60</v>
      </c>
      <c r="P155" s="12"/>
      <c r="Q155" s="12"/>
      <c r="R155" s="12" t="s">
        <v>1922</v>
      </c>
      <c r="S155" s="12" t="s">
        <v>2244</v>
      </c>
      <c r="T155"/>
    </row>
    <row r="156" spans="1:20" ht="39" customHeight="1" x14ac:dyDescent="0.25">
      <c r="A156" s="12" t="s">
        <v>2245</v>
      </c>
      <c r="B156" s="12" t="s">
        <v>109</v>
      </c>
      <c r="C156" s="12" t="s">
        <v>110</v>
      </c>
      <c r="D156" s="12" t="s">
        <v>224</v>
      </c>
      <c r="E156" s="12" t="s">
        <v>1883</v>
      </c>
      <c r="F156" s="12" t="s">
        <v>212</v>
      </c>
      <c r="G156" s="12" t="s">
        <v>2246</v>
      </c>
      <c r="H156" s="12" t="s">
        <v>2247</v>
      </c>
      <c r="I156" s="12"/>
      <c r="J156" s="12" t="s">
        <v>90</v>
      </c>
      <c r="K156" s="45">
        <v>44847</v>
      </c>
      <c r="L156" s="45">
        <v>44819</v>
      </c>
      <c r="M156" s="45">
        <v>44846</v>
      </c>
      <c r="N156" s="12" t="s">
        <v>91</v>
      </c>
      <c r="O156" s="12" t="s">
        <v>60</v>
      </c>
      <c r="P156" s="12"/>
      <c r="Q156" s="12"/>
      <c r="R156" s="12" t="s">
        <v>1986</v>
      </c>
      <c r="S156" s="12" t="s">
        <v>2248</v>
      </c>
      <c r="T156"/>
    </row>
    <row r="157" spans="1:20" ht="39" customHeight="1" x14ac:dyDescent="0.25">
      <c r="A157" s="12" t="s">
        <v>2249</v>
      </c>
      <c r="B157" s="12" t="s">
        <v>109</v>
      </c>
      <c r="C157" s="12" t="s">
        <v>110</v>
      </c>
      <c r="D157" s="12" t="s">
        <v>55</v>
      </c>
      <c r="E157" s="12" t="s">
        <v>1883</v>
      </c>
      <c r="F157" s="12" t="s">
        <v>56</v>
      </c>
      <c r="G157" s="12" t="s">
        <v>1934</v>
      </c>
      <c r="H157" s="12"/>
      <c r="I157" s="12"/>
      <c r="J157" s="12" t="s">
        <v>1867</v>
      </c>
      <c r="K157" s="45">
        <v>43284</v>
      </c>
      <c r="L157" s="45">
        <v>43280</v>
      </c>
      <c r="M157" s="45">
        <v>43500</v>
      </c>
      <c r="N157" s="12" t="s">
        <v>91</v>
      </c>
      <c r="O157" s="12" t="s">
        <v>60</v>
      </c>
      <c r="P157" s="12"/>
      <c r="Q157" s="12"/>
      <c r="R157" s="12" t="s">
        <v>1871</v>
      </c>
      <c r="S157" s="12" t="s">
        <v>2250</v>
      </c>
      <c r="T157"/>
    </row>
    <row r="158" spans="1:20" ht="168.95" customHeight="1" x14ac:dyDescent="0.25">
      <c r="A158" s="12" t="s">
        <v>2251</v>
      </c>
      <c r="B158" s="12" t="s">
        <v>109</v>
      </c>
      <c r="C158" s="12" t="s">
        <v>110</v>
      </c>
      <c r="D158" s="12" t="s">
        <v>228</v>
      </c>
      <c r="E158" s="12" t="s">
        <v>1883</v>
      </c>
      <c r="F158" s="12" t="s">
        <v>212</v>
      </c>
      <c r="G158" s="12" t="s">
        <v>2252</v>
      </c>
      <c r="H158" s="12" t="s">
        <v>2253</v>
      </c>
      <c r="I158" s="12"/>
      <c r="J158" s="12"/>
      <c r="K158" s="45">
        <v>44379</v>
      </c>
      <c r="L158" s="45">
        <v>44377</v>
      </c>
      <c r="M158" s="45">
        <v>44383</v>
      </c>
      <c r="N158" s="12" t="s">
        <v>59</v>
      </c>
      <c r="O158" s="12" t="s">
        <v>60</v>
      </c>
      <c r="P158" s="12"/>
      <c r="Q158" s="12"/>
      <c r="R158" s="12" t="s">
        <v>1894</v>
      </c>
      <c r="S158" s="12" t="s">
        <v>2244</v>
      </c>
      <c r="T158"/>
    </row>
    <row r="159" spans="1:20" ht="168.95" customHeight="1" x14ac:dyDescent="0.25">
      <c r="A159" s="12" t="s">
        <v>2254</v>
      </c>
      <c r="B159" s="12" t="s">
        <v>109</v>
      </c>
      <c r="C159" s="12" t="s">
        <v>110</v>
      </c>
      <c r="D159" s="12" t="s">
        <v>224</v>
      </c>
      <c r="E159" s="12" t="s">
        <v>1883</v>
      </c>
      <c r="F159" s="12" t="s">
        <v>212</v>
      </c>
      <c r="G159" s="12" t="s">
        <v>2255</v>
      </c>
      <c r="H159" s="12" t="s">
        <v>2256</v>
      </c>
      <c r="I159" s="12"/>
      <c r="J159" s="12" t="s">
        <v>90</v>
      </c>
      <c r="K159" s="45">
        <v>44847</v>
      </c>
      <c r="L159" s="45">
        <v>44819</v>
      </c>
      <c r="M159" s="45">
        <v>44846</v>
      </c>
      <c r="N159" s="12" t="s">
        <v>59</v>
      </c>
      <c r="O159" s="12" t="s">
        <v>60</v>
      </c>
      <c r="P159" s="12"/>
      <c r="Q159" s="12"/>
      <c r="R159" s="12" t="s">
        <v>1900</v>
      </c>
      <c r="S159" s="12" t="s">
        <v>2257</v>
      </c>
      <c r="T159"/>
    </row>
    <row r="160" spans="1:20" ht="90.95" customHeight="1" x14ac:dyDescent="0.25">
      <c r="A160" s="12" t="s">
        <v>2258</v>
      </c>
      <c r="B160" s="12" t="s">
        <v>109</v>
      </c>
      <c r="C160" s="12" t="s">
        <v>110</v>
      </c>
      <c r="D160" s="12" t="s">
        <v>55</v>
      </c>
      <c r="E160" s="12" t="s">
        <v>1883</v>
      </c>
      <c r="F160" s="12" t="s">
        <v>56</v>
      </c>
      <c r="G160" s="12" t="s">
        <v>2152</v>
      </c>
      <c r="H160" s="12"/>
      <c r="I160" s="12"/>
      <c r="J160" s="12" t="s">
        <v>1867</v>
      </c>
      <c r="K160" s="45">
        <v>43382</v>
      </c>
      <c r="L160" s="45">
        <v>43381</v>
      </c>
      <c r="M160" s="45">
        <v>43500</v>
      </c>
      <c r="N160" s="12" t="s">
        <v>91</v>
      </c>
      <c r="O160" s="12" t="s">
        <v>60</v>
      </c>
      <c r="P160" s="12"/>
      <c r="Q160" s="12"/>
      <c r="R160" s="12" t="s">
        <v>1874</v>
      </c>
      <c r="S160" s="12"/>
      <c r="T160"/>
    </row>
    <row r="161" spans="1:20" ht="143.1" customHeight="1" x14ac:dyDescent="0.25">
      <c r="A161" s="12" t="s">
        <v>2259</v>
      </c>
      <c r="B161" s="12" t="s">
        <v>109</v>
      </c>
      <c r="C161" s="12" t="s">
        <v>110</v>
      </c>
      <c r="D161" s="12" t="s">
        <v>220</v>
      </c>
      <c r="E161" s="12" t="s">
        <v>1883</v>
      </c>
      <c r="F161" s="12" t="s">
        <v>56</v>
      </c>
      <c r="G161" s="12" t="s">
        <v>2260</v>
      </c>
      <c r="H161" s="12" t="s">
        <v>2020</v>
      </c>
      <c r="I161" s="12"/>
      <c r="J161" s="12" t="s">
        <v>2021</v>
      </c>
      <c r="K161" s="45">
        <v>45235</v>
      </c>
      <c r="L161" s="45">
        <v>45230</v>
      </c>
      <c r="M161" s="45">
        <v>45236</v>
      </c>
      <c r="N161" s="12" t="s">
        <v>59</v>
      </c>
      <c r="O161" s="12" t="s">
        <v>60</v>
      </c>
      <c r="P161" s="12"/>
      <c r="Q161" s="12"/>
      <c r="R161" s="12" t="s">
        <v>1918</v>
      </c>
      <c r="S161" s="12" t="s">
        <v>2261</v>
      </c>
      <c r="T161"/>
    </row>
    <row r="162" spans="1:20" ht="104.1" customHeight="1" x14ac:dyDescent="0.25">
      <c r="A162" s="12" t="s">
        <v>2262</v>
      </c>
      <c r="B162" s="12" t="s">
        <v>109</v>
      </c>
      <c r="C162" s="12" t="s">
        <v>110</v>
      </c>
      <c r="D162" s="12" t="s">
        <v>228</v>
      </c>
      <c r="E162" s="12" t="s">
        <v>1883</v>
      </c>
      <c r="F162" s="12" t="s">
        <v>212</v>
      </c>
      <c r="G162" s="12" t="s">
        <v>2263</v>
      </c>
      <c r="H162" s="12"/>
      <c r="I162" s="12"/>
      <c r="J162" s="12"/>
      <c r="K162" s="45">
        <v>44379</v>
      </c>
      <c r="L162" s="45">
        <v>44377</v>
      </c>
      <c r="M162" s="45">
        <v>44383</v>
      </c>
      <c r="N162" s="12" t="s">
        <v>91</v>
      </c>
      <c r="O162" s="12" t="s">
        <v>60</v>
      </c>
      <c r="P162" s="12"/>
      <c r="Q162" s="12"/>
      <c r="R162" s="12" t="s">
        <v>1938</v>
      </c>
      <c r="S162" s="12" t="s">
        <v>2244</v>
      </c>
      <c r="T162"/>
    </row>
    <row r="163" spans="1:20" ht="90.95" customHeight="1" x14ac:dyDescent="0.25">
      <c r="A163" s="12" t="s">
        <v>2264</v>
      </c>
      <c r="B163" s="12" t="s">
        <v>109</v>
      </c>
      <c r="C163" s="12" t="s">
        <v>110</v>
      </c>
      <c r="D163" s="12" t="s">
        <v>236</v>
      </c>
      <c r="E163" s="12" t="s">
        <v>1883</v>
      </c>
      <c r="F163" s="12" t="s">
        <v>56</v>
      </c>
      <c r="G163" s="12" t="s">
        <v>2265</v>
      </c>
      <c r="H163" s="12" t="s">
        <v>2266</v>
      </c>
      <c r="I163" s="12"/>
      <c r="J163" s="12" t="s">
        <v>2267</v>
      </c>
      <c r="K163" s="45">
        <v>43658</v>
      </c>
      <c r="L163" s="45">
        <v>43656</v>
      </c>
      <c r="M163" s="45">
        <v>43704</v>
      </c>
      <c r="N163" s="12" t="s">
        <v>91</v>
      </c>
      <c r="O163" s="12" t="s">
        <v>60</v>
      </c>
      <c r="P163" s="12"/>
      <c r="Q163" s="12"/>
      <c r="R163" s="12" t="s">
        <v>1929</v>
      </c>
      <c r="S163" s="12" t="s">
        <v>2268</v>
      </c>
      <c r="T163"/>
    </row>
    <row r="164" spans="1:20" ht="104.1" customHeight="1" x14ac:dyDescent="0.25">
      <c r="A164" s="12" t="s">
        <v>2269</v>
      </c>
      <c r="B164" s="12" t="s">
        <v>109</v>
      </c>
      <c r="C164" s="12" t="s">
        <v>110</v>
      </c>
      <c r="D164" s="12" t="s">
        <v>252</v>
      </c>
      <c r="E164" s="12" t="s">
        <v>1883</v>
      </c>
      <c r="F164" s="12" t="s">
        <v>56</v>
      </c>
      <c r="G164" s="12" t="s">
        <v>2270</v>
      </c>
      <c r="H164" s="12" t="s">
        <v>2271</v>
      </c>
      <c r="I164" s="12"/>
      <c r="J164" s="12" t="s">
        <v>2272</v>
      </c>
      <c r="K164" s="45">
        <v>45589</v>
      </c>
      <c r="L164" s="45">
        <v>45582</v>
      </c>
      <c r="M164" s="45">
        <v>45600</v>
      </c>
      <c r="N164" s="12" t="s">
        <v>59</v>
      </c>
      <c r="O164" s="12" t="s">
        <v>60</v>
      </c>
      <c r="P164" s="12"/>
      <c r="Q164" s="12"/>
      <c r="R164" s="12" t="s">
        <v>1942</v>
      </c>
      <c r="S164" s="12" t="s">
        <v>2273</v>
      </c>
      <c r="T164"/>
    </row>
    <row r="165" spans="1:20" ht="104.1" customHeight="1" x14ac:dyDescent="0.25">
      <c r="A165" s="12" t="s">
        <v>2274</v>
      </c>
      <c r="B165" s="12" t="s">
        <v>109</v>
      </c>
      <c r="C165" s="12" t="s">
        <v>110</v>
      </c>
      <c r="D165" s="12" t="s">
        <v>224</v>
      </c>
      <c r="E165" s="12" t="s">
        <v>1883</v>
      </c>
      <c r="F165" s="12" t="s">
        <v>212</v>
      </c>
      <c r="G165" s="12" t="s">
        <v>2275</v>
      </c>
      <c r="H165" s="12" t="s">
        <v>2276</v>
      </c>
      <c r="I165" s="12"/>
      <c r="J165" s="12" t="s">
        <v>90</v>
      </c>
      <c r="K165" s="45">
        <v>44847</v>
      </c>
      <c r="L165" s="45">
        <v>44819</v>
      </c>
      <c r="M165" s="45">
        <v>44846</v>
      </c>
      <c r="N165" s="12" t="s">
        <v>59</v>
      </c>
      <c r="O165" s="12" t="s">
        <v>60</v>
      </c>
      <c r="P165" s="12"/>
      <c r="Q165" s="12"/>
      <c r="R165" s="12" t="s">
        <v>1910</v>
      </c>
      <c r="S165" s="12" t="s">
        <v>2277</v>
      </c>
      <c r="T165"/>
    </row>
    <row r="166" spans="1:20" ht="78" customHeight="1" x14ac:dyDescent="0.25">
      <c r="A166" s="12" t="s">
        <v>2278</v>
      </c>
      <c r="B166" s="12" t="s">
        <v>109</v>
      </c>
      <c r="C166" s="12" t="s">
        <v>110</v>
      </c>
      <c r="D166" s="12" t="s">
        <v>220</v>
      </c>
      <c r="E166" s="12" t="s">
        <v>1883</v>
      </c>
      <c r="F166" s="12" t="s">
        <v>212</v>
      </c>
      <c r="G166" s="12" t="s">
        <v>2279</v>
      </c>
      <c r="H166" s="12" t="s">
        <v>2138</v>
      </c>
      <c r="I166" s="12" t="s">
        <v>2280</v>
      </c>
      <c r="J166" s="12" t="s">
        <v>1381</v>
      </c>
      <c r="K166" s="45">
        <v>45107</v>
      </c>
      <c r="L166" s="45">
        <v>45106</v>
      </c>
      <c r="M166" s="45">
        <v>45110</v>
      </c>
      <c r="N166" s="12" t="s">
        <v>59</v>
      </c>
      <c r="O166" s="12" t="s">
        <v>60</v>
      </c>
      <c r="P166" s="12"/>
      <c r="Q166" s="12"/>
      <c r="R166" s="12" t="s">
        <v>1978</v>
      </c>
      <c r="S166" s="12" t="s">
        <v>2281</v>
      </c>
      <c r="T166"/>
    </row>
    <row r="167" spans="1:20" ht="65.099999999999994" customHeight="1" x14ac:dyDescent="0.25">
      <c r="A167" s="12" t="s">
        <v>2282</v>
      </c>
      <c r="B167" s="12" t="s">
        <v>109</v>
      </c>
      <c r="C167" s="12" t="s">
        <v>110</v>
      </c>
      <c r="D167" s="12" t="s">
        <v>220</v>
      </c>
      <c r="E167" s="12" t="s">
        <v>1883</v>
      </c>
      <c r="F167" s="12" t="s">
        <v>212</v>
      </c>
      <c r="G167" s="12" t="s">
        <v>2283</v>
      </c>
      <c r="H167" s="12" t="s">
        <v>2247</v>
      </c>
      <c r="I167" s="12"/>
      <c r="J167" s="12" t="s">
        <v>915</v>
      </c>
      <c r="K167" s="45">
        <v>45285</v>
      </c>
      <c r="L167" s="45">
        <v>45278</v>
      </c>
      <c r="M167" s="45">
        <v>45308</v>
      </c>
      <c r="N167" s="12" t="s">
        <v>59</v>
      </c>
      <c r="O167" s="12" t="s">
        <v>60</v>
      </c>
      <c r="P167" s="12"/>
      <c r="Q167" s="12"/>
      <c r="R167" s="12" t="s">
        <v>1963</v>
      </c>
      <c r="S167" s="12" t="s">
        <v>2284</v>
      </c>
      <c r="T167"/>
    </row>
    <row r="168" spans="1:20" ht="78" customHeight="1" x14ac:dyDescent="0.25">
      <c r="A168" s="12" t="s">
        <v>2285</v>
      </c>
      <c r="B168" s="12" t="s">
        <v>109</v>
      </c>
      <c r="C168" s="12" t="s">
        <v>110</v>
      </c>
      <c r="D168" s="12" t="s">
        <v>228</v>
      </c>
      <c r="E168" s="12" t="s">
        <v>1883</v>
      </c>
      <c r="F168" s="12" t="s">
        <v>56</v>
      </c>
      <c r="G168" s="12" t="s">
        <v>2286</v>
      </c>
      <c r="H168" s="12" t="s">
        <v>2287</v>
      </c>
      <c r="I168" s="12"/>
      <c r="J168" s="12"/>
      <c r="K168" s="45">
        <v>44378</v>
      </c>
      <c r="L168" s="45">
        <v>44362</v>
      </c>
      <c r="M168" s="45">
        <v>44383</v>
      </c>
      <c r="N168" s="12" t="s">
        <v>59</v>
      </c>
      <c r="O168" s="12" t="s">
        <v>60</v>
      </c>
      <c r="P168" s="12"/>
      <c r="Q168" s="12"/>
      <c r="R168" s="12" t="s">
        <v>1904</v>
      </c>
      <c r="S168" s="12" t="s">
        <v>2288</v>
      </c>
      <c r="T168"/>
    </row>
    <row r="169" spans="1:20" ht="39" customHeight="1" x14ac:dyDescent="0.25">
      <c r="A169" s="12" t="s">
        <v>2289</v>
      </c>
      <c r="B169" s="12" t="s">
        <v>112</v>
      </c>
      <c r="C169" s="12" t="s">
        <v>113</v>
      </c>
      <c r="D169" s="12" t="s">
        <v>228</v>
      </c>
      <c r="E169" s="12" t="s">
        <v>1862</v>
      </c>
      <c r="F169" s="12" t="s">
        <v>212</v>
      </c>
      <c r="G169" s="12" t="s">
        <v>2290</v>
      </c>
      <c r="H169" s="12"/>
      <c r="I169" s="12"/>
      <c r="J169" s="12"/>
      <c r="K169" s="45"/>
      <c r="L169" s="45">
        <v>44447</v>
      </c>
      <c r="M169" s="45">
        <v>44448</v>
      </c>
      <c r="N169" s="12" t="s">
        <v>59</v>
      </c>
      <c r="O169" s="12" t="s">
        <v>60</v>
      </c>
      <c r="P169" s="12"/>
      <c r="Q169" s="12"/>
      <c r="R169" s="12" t="s">
        <v>1922</v>
      </c>
      <c r="S169" s="12"/>
      <c r="T169"/>
    </row>
    <row r="170" spans="1:20" ht="39" customHeight="1" x14ac:dyDescent="0.25">
      <c r="A170" s="12" t="s">
        <v>2291</v>
      </c>
      <c r="B170" s="12" t="s">
        <v>112</v>
      </c>
      <c r="C170" s="12" t="s">
        <v>113</v>
      </c>
      <c r="D170" s="12" t="s">
        <v>228</v>
      </c>
      <c r="E170" s="12" t="s">
        <v>1862</v>
      </c>
      <c r="F170" s="12" t="s">
        <v>212</v>
      </c>
      <c r="G170" s="12" t="s">
        <v>2292</v>
      </c>
      <c r="H170" s="12"/>
      <c r="I170" s="12"/>
      <c r="J170" s="12"/>
      <c r="K170" s="45"/>
      <c r="L170" s="45">
        <v>44447</v>
      </c>
      <c r="M170" s="45">
        <v>44448</v>
      </c>
      <c r="N170" s="12" t="s">
        <v>59</v>
      </c>
      <c r="O170" s="12" t="s">
        <v>60</v>
      </c>
      <c r="P170" s="12"/>
      <c r="Q170" s="12"/>
      <c r="R170" s="12" t="s">
        <v>1938</v>
      </c>
      <c r="S170" s="12"/>
      <c r="T170"/>
    </row>
    <row r="171" spans="1:20" ht="78" customHeight="1" x14ac:dyDescent="0.25">
      <c r="A171" s="12" t="s">
        <v>2293</v>
      </c>
      <c r="B171" s="12" t="s">
        <v>112</v>
      </c>
      <c r="C171" s="12" t="s">
        <v>113</v>
      </c>
      <c r="D171" s="12" t="s">
        <v>220</v>
      </c>
      <c r="E171" s="12" t="s">
        <v>1883</v>
      </c>
      <c r="F171" s="12" t="s">
        <v>212</v>
      </c>
      <c r="G171" s="12" t="s">
        <v>2294</v>
      </c>
      <c r="H171" s="12" t="s">
        <v>2138</v>
      </c>
      <c r="I171" s="12"/>
      <c r="J171" s="12" t="s">
        <v>2066</v>
      </c>
      <c r="K171" s="45">
        <v>45291</v>
      </c>
      <c r="L171" s="45">
        <v>45250</v>
      </c>
      <c r="M171" s="45">
        <v>45274</v>
      </c>
      <c r="N171" s="12" t="s">
        <v>59</v>
      </c>
      <c r="O171" s="12" t="s">
        <v>60</v>
      </c>
      <c r="P171" s="12"/>
      <c r="Q171" s="12"/>
      <c r="R171" s="12" t="s">
        <v>1978</v>
      </c>
      <c r="S171" s="12" t="s">
        <v>2295</v>
      </c>
      <c r="T171"/>
    </row>
    <row r="172" spans="1:20" ht="104.1" customHeight="1" x14ac:dyDescent="0.25">
      <c r="A172" s="12" t="s">
        <v>2296</v>
      </c>
      <c r="B172" s="12" t="s">
        <v>112</v>
      </c>
      <c r="C172" s="12" t="s">
        <v>113</v>
      </c>
      <c r="D172" s="12" t="s">
        <v>228</v>
      </c>
      <c r="E172" s="12" t="s">
        <v>1862</v>
      </c>
      <c r="F172" s="12" t="s">
        <v>212</v>
      </c>
      <c r="G172" s="12" t="s">
        <v>2297</v>
      </c>
      <c r="H172" s="12"/>
      <c r="I172" s="12"/>
      <c r="J172" s="12"/>
      <c r="K172" s="45"/>
      <c r="L172" s="45">
        <v>44447</v>
      </c>
      <c r="M172" s="45">
        <v>44448</v>
      </c>
      <c r="N172" s="12" t="s">
        <v>59</v>
      </c>
      <c r="O172" s="12" t="s">
        <v>60</v>
      </c>
      <c r="P172" s="12"/>
      <c r="Q172" s="12"/>
      <c r="R172" s="12" t="s">
        <v>1894</v>
      </c>
      <c r="S172" s="12"/>
      <c r="T172"/>
    </row>
    <row r="173" spans="1:20" ht="39" customHeight="1" x14ac:dyDescent="0.25">
      <c r="A173" s="12" t="s">
        <v>2298</v>
      </c>
      <c r="B173" s="12" t="s">
        <v>112</v>
      </c>
      <c r="C173" s="12" t="s">
        <v>113</v>
      </c>
      <c r="D173" s="12" t="s">
        <v>236</v>
      </c>
      <c r="E173" s="12" t="s">
        <v>1862</v>
      </c>
      <c r="F173" s="12" t="s">
        <v>56</v>
      </c>
      <c r="G173" s="12" t="s">
        <v>1876</v>
      </c>
      <c r="H173" s="12"/>
      <c r="I173" s="12"/>
      <c r="J173" s="12" t="s">
        <v>1867</v>
      </c>
      <c r="K173" s="45">
        <v>43676</v>
      </c>
      <c r="L173" s="45">
        <v>43651</v>
      </c>
      <c r="M173" s="45">
        <v>43651</v>
      </c>
      <c r="N173" s="12" t="s">
        <v>59</v>
      </c>
      <c r="O173" s="12" t="s">
        <v>60</v>
      </c>
      <c r="P173" s="12"/>
      <c r="Q173" s="12"/>
      <c r="R173" s="12" t="s">
        <v>1877</v>
      </c>
      <c r="S173" s="12"/>
      <c r="T173"/>
    </row>
    <row r="174" spans="1:20" ht="104.1" customHeight="1" x14ac:dyDescent="0.25">
      <c r="A174" s="12" t="s">
        <v>2299</v>
      </c>
      <c r="B174" s="12" t="s">
        <v>112</v>
      </c>
      <c r="C174" s="12" t="s">
        <v>113</v>
      </c>
      <c r="D174" s="12" t="s">
        <v>126</v>
      </c>
      <c r="E174" s="12" t="s">
        <v>1862</v>
      </c>
      <c r="F174" s="12" t="s">
        <v>56</v>
      </c>
      <c r="G174" s="12" t="s">
        <v>1879</v>
      </c>
      <c r="H174" s="12"/>
      <c r="I174" s="12"/>
      <c r="J174" s="12" t="s">
        <v>1867</v>
      </c>
      <c r="K174" s="45">
        <v>42580</v>
      </c>
      <c r="L174" s="45">
        <v>42580</v>
      </c>
      <c r="M174" s="45">
        <v>42580</v>
      </c>
      <c r="N174" s="12" t="s">
        <v>91</v>
      </c>
      <c r="O174" s="12" t="s">
        <v>60</v>
      </c>
      <c r="P174" s="12"/>
      <c r="Q174" s="12"/>
      <c r="R174" s="12" t="s">
        <v>1881</v>
      </c>
      <c r="S174" s="12"/>
      <c r="T174"/>
    </row>
    <row r="175" spans="1:20" ht="65.099999999999994" customHeight="1" x14ac:dyDescent="0.25">
      <c r="A175" s="12" t="s">
        <v>2300</v>
      </c>
      <c r="B175" s="12" t="s">
        <v>112</v>
      </c>
      <c r="C175" s="12" t="s">
        <v>113</v>
      </c>
      <c r="D175" s="12" t="s">
        <v>224</v>
      </c>
      <c r="E175" s="12" t="s">
        <v>1883</v>
      </c>
      <c r="F175" s="12" t="s">
        <v>56</v>
      </c>
      <c r="G175" s="12" t="s">
        <v>2301</v>
      </c>
      <c r="H175" s="12" t="s">
        <v>2235</v>
      </c>
      <c r="I175" s="12"/>
      <c r="J175" s="12" t="s">
        <v>90</v>
      </c>
      <c r="K175" s="45">
        <v>44884</v>
      </c>
      <c r="L175" s="45">
        <v>44840</v>
      </c>
      <c r="M175" s="45">
        <v>44861</v>
      </c>
      <c r="N175" s="12" t="s">
        <v>59</v>
      </c>
      <c r="O175" s="12" t="s">
        <v>60</v>
      </c>
      <c r="P175" s="12"/>
      <c r="Q175" s="12"/>
      <c r="R175" s="12" t="s">
        <v>1981</v>
      </c>
      <c r="S175" s="12" t="s">
        <v>2302</v>
      </c>
      <c r="T175"/>
    </row>
    <row r="176" spans="1:20" ht="90.95" customHeight="1" x14ac:dyDescent="0.25">
      <c r="A176" s="12" t="s">
        <v>2303</v>
      </c>
      <c r="B176" s="12" t="s">
        <v>112</v>
      </c>
      <c r="C176" s="12" t="s">
        <v>113</v>
      </c>
      <c r="D176" s="12" t="s">
        <v>126</v>
      </c>
      <c r="E176" s="12" t="s">
        <v>1862</v>
      </c>
      <c r="F176" s="12" t="s">
        <v>56</v>
      </c>
      <c r="G176" s="12" t="s">
        <v>2304</v>
      </c>
      <c r="H176" s="12"/>
      <c r="I176" s="12"/>
      <c r="J176" s="12"/>
      <c r="K176" s="45">
        <v>42684</v>
      </c>
      <c r="L176" s="45">
        <v>42684</v>
      </c>
      <c r="M176" s="45">
        <v>42684</v>
      </c>
      <c r="N176" s="12" t="s">
        <v>91</v>
      </c>
      <c r="O176" s="12" t="s">
        <v>60</v>
      </c>
      <c r="P176" s="12"/>
      <c r="Q176" s="12"/>
      <c r="R176" s="12" t="s">
        <v>1864</v>
      </c>
      <c r="S176" s="12"/>
      <c r="T176"/>
    </row>
    <row r="177" spans="1:20" ht="104.1" customHeight="1" x14ac:dyDescent="0.25">
      <c r="A177" s="12" t="s">
        <v>2305</v>
      </c>
      <c r="B177" s="12" t="s">
        <v>112</v>
      </c>
      <c r="C177" s="12" t="s">
        <v>113</v>
      </c>
      <c r="D177" s="12" t="s">
        <v>236</v>
      </c>
      <c r="E177" s="12" t="s">
        <v>1862</v>
      </c>
      <c r="F177" s="12" t="s">
        <v>56</v>
      </c>
      <c r="G177" s="12" t="s">
        <v>1866</v>
      </c>
      <c r="H177" s="12"/>
      <c r="I177" s="12"/>
      <c r="J177" s="12" t="s">
        <v>1880</v>
      </c>
      <c r="K177" s="45">
        <v>43651</v>
      </c>
      <c r="L177" s="45">
        <v>43676</v>
      </c>
      <c r="M177" s="45">
        <v>43677</v>
      </c>
      <c r="N177" s="12" t="s">
        <v>59</v>
      </c>
      <c r="O177" s="12" t="s">
        <v>60</v>
      </c>
      <c r="P177" s="12"/>
      <c r="Q177" s="12"/>
      <c r="R177" s="12" t="s">
        <v>1868</v>
      </c>
      <c r="S177" s="12"/>
      <c r="T177"/>
    </row>
    <row r="178" spans="1:20" ht="104.1" customHeight="1" x14ac:dyDescent="0.25">
      <c r="A178" s="12" t="s">
        <v>2306</v>
      </c>
      <c r="B178" s="12" t="s">
        <v>112</v>
      </c>
      <c r="C178" s="12" t="s">
        <v>113</v>
      </c>
      <c r="D178" s="12" t="s">
        <v>224</v>
      </c>
      <c r="E178" s="12" t="s">
        <v>1862</v>
      </c>
      <c r="F178" s="12" t="s">
        <v>212</v>
      </c>
      <c r="G178" s="12" t="s">
        <v>2307</v>
      </c>
      <c r="H178" s="12"/>
      <c r="I178" s="12"/>
      <c r="J178" s="12" t="s">
        <v>90</v>
      </c>
      <c r="K178" s="45">
        <v>44799</v>
      </c>
      <c r="L178" s="45">
        <v>44799</v>
      </c>
      <c r="M178" s="45">
        <v>44799</v>
      </c>
      <c r="N178" s="12" t="s">
        <v>59</v>
      </c>
      <c r="O178" s="12" t="s">
        <v>60</v>
      </c>
      <c r="P178" s="12"/>
      <c r="Q178" s="12"/>
      <c r="R178" s="12" t="s">
        <v>1900</v>
      </c>
      <c r="S178" s="12"/>
      <c r="T178"/>
    </row>
    <row r="179" spans="1:20" ht="117" customHeight="1" x14ac:dyDescent="0.25">
      <c r="A179" s="12" t="s">
        <v>2308</v>
      </c>
      <c r="B179" s="12" t="s">
        <v>112</v>
      </c>
      <c r="C179" s="12" t="s">
        <v>113</v>
      </c>
      <c r="D179" s="12" t="s">
        <v>224</v>
      </c>
      <c r="E179" s="12" t="s">
        <v>1862</v>
      </c>
      <c r="F179" s="12" t="s">
        <v>212</v>
      </c>
      <c r="G179" s="12" t="s">
        <v>2309</v>
      </c>
      <c r="H179" s="12"/>
      <c r="I179" s="12"/>
      <c r="J179" s="12" t="s">
        <v>90</v>
      </c>
      <c r="K179" s="45">
        <v>44799</v>
      </c>
      <c r="L179" s="45">
        <v>44799</v>
      </c>
      <c r="M179" s="45">
        <v>44799</v>
      </c>
      <c r="N179" s="12" t="s">
        <v>59</v>
      </c>
      <c r="O179" s="12" t="s">
        <v>60</v>
      </c>
      <c r="P179" s="12"/>
      <c r="Q179" s="12"/>
      <c r="R179" s="12" t="s">
        <v>1986</v>
      </c>
      <c r="S179" s="12"/>
      <c r="T179"/>
    </row>
    <row r="180" spans="1:20" ht="117" customHeight="1" x14ac:dyDescent="0.25">
      <c r="A180" s="12" t="s">
        <v>2310</v>
      </c>
      <c r="B180" s="12" t="s">
        <v>112</v>
      </c>
      <c r="C180" s="12" t="s">
        <v>113</v>
      </c>
      <c r="D180" s="12" t="s">
        <v>55</v>
      </c>
      <c r="E180" s="12" t="s">
        <v>1862</v>
      </c>
      <c r="F180" s="12" t="s">
        <v>56</v>
      </c>
      <c r="G180" s="12" t="s">
        <v>1873</v>
      </c>
      <c r="H180" s="12"/>
      <c r="I180" s="12"/>
      <c r="J180" s="12" t="s">
        <v>1867</v>
      </c>
      <c r="K180" s="45">
        <v>43451</v>
      </c>
      <c r="L180" s="45">
        <v>43451</v>
      </c>
      <c r="M180" s="45">
        <v>43451</v>
      </c>
      <c r="N180" s="12" t="s">
        <v>59</v>
      </c>
      <c r="O180" s="12" t="s">
        <v>60</v>
      </c>
      <c r="P180" s="12"/>
      <c r="Q180" s="12"/>
      <c r="R180" s="12" t="s">
        <v>1874</v>
      </c>
      <c r="S180" s="12"/>
      <c r="T180"/>
    </row>
    <row r="181" spans="1:20" ht="65.099999999999994" customHeight="1" x14ac:dyDescent="0.25">
      <c r="A181" s="12" t="s">
        <v>2311</v>
      </c>
      <c r="B181" s="12" t="s">
        <v>112</v>
      </c>
      <c r="C181" s="12" t="s">
        <v>113</v>
      </c>
      <c r="D181" s="12" t="s">
        <v>55</v>
      </c>
      <c r="E181" s="12" t="s">
        <v>1862</v>
      </c>
      <c r="F181" s="12" t="s">
        <v>56</v>
      </c>
      <c r="G181" s="12" t="s">
        <v>1870</v>
      </c>
      <c r="H181" s="12"/>
      <c r="I181" s="12"/>
      <c r="J181" s="12"/>
      <c r="K181" s="45">
        <v>43223</v>
      </c>
      <c r="L181" s="45">
        <v>43223</v>
      </c>
      <c r="M181" s="45">
        <v>43223</v>
      </c>
      <c r="N181" s="12" t="s">
        <v>91</v>
      </c>
      <c r="O181" s="12" t="s">
        <v>60</v>
      </c>
      <c r="P181" s="12"/>
      <c r="Q181" s="12"/>
      <c r="R181" s="12" t="s">
        <v>1871</v>
      </c>
      <c r="S181" s="12"/>
      <c r="T181"/>
    </row>
    <row r="182" spans="1:20" ht="65.099999999999994" customHeight="1" x14ac:dyDescent="0.25">
      <c r="A182" s="12" t="s">
        <v>2312</v>
      </c>
      <c r="B182" s="12" t="s">
        <v>112</v>
      </c>
      <c r="C182" s="12" t="s">
        <v>113</v>
      </c>
      <c r="D182" s="12" t="s">
        <v>228</v>
      </c>
      <c r="E182" s="12" t="s">
        <v>1883</v>
      </c>
      <c r="F182" s="12" t="s">
        <v>212</v>
      </c>
      <c r="G182" s="12" t="s">
        <v>2313</v>
      </c>
      <c r="H182" s="12"/>
      <c r="I182" s="12"/>
      <c r="J182" s="12"/>
      <c r="K182" s="45">
        <v>44488</v>
      </c>
      <c r="L182" s="45">
        <v>44488</v>
      </c>
      <c r="M182" s="45">
        <v>44488</v>
      </c>
      <c r="N182" s="12" t="s">
        <v>59</v>
      </c>
      <c r="O182" s="12" t="s">
        <v>60</v>
      </c>
      <c r="P182" s="12"/>
      <c r="Q182" s="12"/>
      <c r="R182" s="12" t="s">
        <v>1904</v>
      </c>
      <c r="S182" s="12"/>
      <c r="T182"/>
    </row>
    <row r="183" spans="1:20" ht="39" customHeight="1" x14ac:dyDescent="0.25">
      <c r="A183" s="12" t="s">
        <v>2314</v>
      </c>
      <c r="B183" s="12" t="s">
        <v>115</v>
      </c>
      <c r="C183" s="12" t="s">
        <v>116</v>
      </c>
      <c r="D183" s="12" t="s">
        <v>236</v>
      </c>
      <c r="E183" s="12" t="s">
        <v>1862</v>
      </c>
      <c r="F183" s="12" t="s">
        <v>56</v>
      </c>
      <c r="G183" s="12" t="s">
        <v>2315</v>
      </c>
      <c r="H183" s="12"/>
      <c r="I183" s="12"/>
      <c r="J183" s="12" t="s">
        <v>1867</v>
      </c>
      <c r="K183" s="45">
        <v>43553</v>
      </c>
      <c r="L183" s="45">
        <v>43553</v>
      </c>
      <c r="M183" s="45">
        <v>43553</v>
      </c>
      <c r="N183" s="12" t="s">
        <v>59</v>
      </c>
      <c r="O183" s="12" t="s">
        <v>60</v>
      </c>
      <c r="P183" s="12"/>
      <c r="Q183" s="12"/>
      <c r="R183" s="12" t="s">
        <v>1877</v>
      </c>
      <c r="S183" s="12"/>
      <c r="T183"/>
    </row>
    <row r="184" spans="1:20" ht="39" customHeight="1" x14ac:dyDescent="0.25">
      <c r="A184" s="12" t="s">
        <v>2316</v>
      </c>
      <c r="B184" s="12" t="s">
        <v>115</v>
      </c>
      <c r="C184" s="12" t="s">
        <v>116</v>
      </c>
      <c r="D184" s="12" t="s">
        <v>224</v>
      </c>
      <c r="E184" s="12" t="s">
        <v>1862</v>
      </c>
      <c r="F184" s="12" t="s">
        <v>56</v>
      </c>
      <c r="G184" s="12" t="s">
        <v>2317</v>
      </c>
      <c r="H184" s="12"/>
      <c r="I184" s="12"/>
      <c r="J184" s="12" t="s">
        <v>1880</v>
      </c>
      <c r="K184" s="45">
        <v>44757</v>
      </c>
      <c r="L184" s="45">
        <v>44757</v>
      </c>
      <c r="M184" s="45">
        <v>44771</v>
      </c>
      <c r="N184" s="12" t="s">
        <v>59</v>
      </c>
      <c r="O184" s="12" t="s">
        <v>60</v>
      </c>
      <c r="P184" s="12"/>
      <c r="Q184" s="12"/>
      <c r="R184" s="12" t="s">
        <v>1897</v>
      </c>
      <c r="S184" s="12"/>
      <c r="T184"/>
    </row>
    <row r="185" spans="1:20" ht="39" customHeight="1" x14ac:dyDescent="0.25">
      <c r="A185" s="12" t="s">
        <v>2318</v>
      </c>
      <c r="B185" s="12" t="s">
        <v>115</v>
      </c>
      <c r="C185" s="12" t="s">
        <v>116</v>
      </c>
      <c r="D185" s="12" t="s">
        <v>228</v>
      </c>
      <c r="E185" s="12" t="s">
        <v>1862</v>
      </c>
      <c r="F185" s="12" t="s">
        <v>212</v>
      </c>
      <c r="G185" s="12" t="s">
        <v>2319</v>
      </c>
      <c r="H185" s="12"/>
      <c r="I185" s="12"/>
      <c r="J185" s="12" t="s">
        <v>1885</v>
      </c>
      <c r="K185" s="45">
        <v>44375</v>
      </c>
      <c r="L185" s="45">
        <v>44375</v>
      </c>
      <c r="M185" s="45">
        <v>44377</v>
      </c>
      <c r="N185" s="12" t="s">
        <v>59</v>
      </c>
      <c r="O185" s="12" t="s">
        <v>60</v>
      </c>
      <c r="P185" s="12"/>
      <c r="Q185" s="12"/>
      <c r="R185" s="12" t="s">
        <v>1938</v>
      </c>
      <c r="S185" s="12"/>
      <c r="T185"/>
    </row>
    <row r="186" spans="1:20" ht="78" customHeight="1" x14ac:dyDescent="0.25">
      <c r="A186" s="12" t="s">
        <v>2320</v>
      </c>
      <c r="B186" s="12" t="s">
        <v>115</v>
      </c>
      <c r="C186" s="12" t="s">
        <v>116</v>
      </c>
      <c r="D186" s="12" t="s">
        <v>224</v>
      </c>
      <c r="E186" s="12" t="s">
        <v>1862</v>
      </c>
      <c r="F186" s="12" t="s">
        <v>212</v>
      </c>
      <c r="G186" s="12" t="s">
        <v>2321</v>
      </c>
      <c r="H186" s="12"/>
      <c r="I186" s="12"/>
      <c r="J186" s="12" t="s">
        <v>915</v>
      </c>
      <c r="K186" s="45">
        <v>44757</v>
      </c>
      <c r="L186" s="45">
        <v>44757</v>
      </c>
      <c r="M186" s="45">
        <v>44805</v>
      </c>
      <c r="N186" s="12" t="s">
        <v>59</v>
      </c>
      <c r="O186" s="12" t="s">
        <v>60</v>
      </c>
      <c r="P186" s="12"/>
      <c r="Q186" s="12"/>
      <c r="R186" s="12" t="s">
        <v>1900</v>
      </c>
      <c r="S186" s="12"/>
      <c r="T186"/>
    </row>
    <row r="187" spans="1:20" ht="104.1" customHeight="1" x14ac:dyDescent="0.25">
      <c r="A187" s="12" t="s">
        <v>2322</v>
      </c>
      <c r="B187" s="12" t="s">
        <v>115</v>
      </c>
      <c r="C187" s="12" t="s">
        <v>116</v>
      </c>
      <c r="D187" s="12" t="s">
        <v>228</v>
      </c>
      <c r="E187" s="12" t="s">
        <v>1862</v>
      </c>
      <c r="F187" s="12" t="s">
        <v>212</v>
      </c>
      <c r="G187" s="12" t="s">
        <v>2323</v>
      </c>
      <c r="H187" s="12"/>
      <c r="I187" s="12"/>
      <c r="J187" s="12"/>
      <c r="K187" s="45">
        <v>44468</v>
      </c>
      <c r="L187" s="45">
        <v>44468</v>
      </c>
      <c r="M187" s="45">
        <v>44482</v>
      </c>
      <c r="N187" s="12" t="s">
        <v>59</v>
      </c>
      <c r="O187" s="12" t="s">
        <v>60</v>
      </c>
      <c r="P187" s="12"/>
      <c r="Q187" s="12"/>
      <c r="R187" s="12" t="s">
        <v>1868</v>
      </c>
      <c r="S187" s="12"/>
      <c r="T187"/>
    </row>
    <row r="188" spans="1:20" ht="104.1" customHeight="1" x14ac:dyDescent="0.25">
      <c r="A188" s="12" t="s">
        <v>2324</v>
      </c>
      <c r="B188" s="12" t="s">
        <v>115</v>
      </c>
      <c r="C188" s="12" t="s">
        <v>116</v>
      </c>
      <c r="D188" s="12" t="s">
        <v>224</v>
      </c>
      <c r="E188" s="12" t="s">
        <v>1862</v>
      </c>
      <c r="F188" s="12" t="s">
        <v>212</v>
      </c>
      <c r="G188" s="12" t="s">
        <v>2325</v>
      </c>
      <c r="H188" s="12"/>
      <c r="I188" s="12"/>
      <c r="J188" s="12" t="s">
        <v>915</v>
      </c>
      <c r="K188" s="45">
        <v>44796</v>
      </c>
      <c r="L188" s="45">
        <v>44796</v>
      </c>
      <c r="M188" s="45">
        <v>44825</v>
      </c>
      <c r="N188" s="12" t="s">
        <v>59</v>
      </c>
      <c r="O188" s="12" t="s">
        <v>60</v>
      </c>
      <c r="P188" s="12"/>
      <c r="Q188" s="12"/>
      <c r="R188" s="12" t="s">
        <v>1986</v>
      </c>
      <c r="S188" s="12"/>
      <c r="T188"/>
    </row>
    <row r="189" spans="1:20" ht="65.099999999999994" customHeight="1" x14ac:dyDescent="0.25">
      <c r="A189" s="12" t="s">
        <v>2326</v>
      </c>
      <c r="B189" s="12" t="s">
        <v>115</v>
      </c>
      <c r="C189" s="12" t="s">
        <v>116</v>
      </c>
      <c r="D189" s="12" t="s">
        <v>252</v>
      </c>
      <c r="E189" s="12" t="s">
        <v>1862</v>
      </c>
      <c r="F189" s="12" t="s">
        <v>212</v>
      </c>
      <c r="G189" s="12" t="s">
        <v>2327</v>
      </c>
      <c r="H189" s="12"/>
      <c r="I189" s="12"/>
      <c r="J189" s="12" t="s">
        <v>1885</v>
      </c>
      <c r="K189" s="45">
        <v>45686</v>
      </c>
      <c r="L189" s="45">
        <v>45625</v>
      </c>
      <c r="M189" s="45">
        <v>45626</v>
      </c>
      <c r="N189" s="12" t="s">
        <v>59</v>
      </c>
      <c r="O189" s="12" t="s">
        <v>60</v>
      </c>
      <c r="P189" s="12"/>
      <c r="Q189" s="12"/>
      <c r="R189" s="12" t="s">
        <v>1886</v>
      </c>
      <c r="S189" s="12"/>
      <c r="T189"/>
    </row>
    <row r="190" spans="1:20" ht="156" customHeight="1" x14ac:dyDescent="0.25">
      <c r="A190" s="12" t="s">
        <v>2328</v>
      </c>
      <c r="B190" s="12" t="s">
        <v>115</v>
      </c>
      <c r="C190" s="12" t="s">
        <v>116</v>
      </c>
      <c r="D190" s="12" t="s">
        <v>228</v>
      </c>
      <c r="E190" s="12" t="s">
        <v>1862</v>
      </c>
      <c r="F190" s="12" t="s">
        <v>212</v>
      </c>
      <c r="G190" s="12" t="s">
        <v>2329</v>
      </c>
      <c r="H190" s="12"/>
      <c r="I190" s="12"/>
      <c r="J190" s="12" t="s">
        <v>2330</v>
      </c>
      <c r="K190" s="45">
        <v>44375</v>
      </c>
      <c r="L190" s="45">
        <v>44375</v>
      </c>
      <c r="M190" s="45">
        <v>44377</v>
      </c>
      <c r="N190" s="12" t="s">
        <v>59</v>
      </c>
      <c r="O190" s="12" t="s">
        <v>60</v>
      </c>
      <c r="P190" s="12"/>
      <c r="Q190" s="12"/>
      <c r="R190" s="12" t="s">
        <v>1922</v>
      </c>
      <c r="S190" s="12"/>
      <c r="T190"/>
    </row>
    <row r="191" spans="1:20" ht="39" customHeight="1" x14ac:dyDescent="0.25">
      <c r="A191" s="12" t="s">
        <v>2331</v>
      </c>
      <c r="B191" s="12" t="s">
        <v>115</v>
      </c>
      <c r="C191" s="12" t="s">
        <v>116</v>
      </c>
      <c r="D191" s="12" t="s">
        <v>228</v>
      </c>
      <c r="E191" s="12" t="s">
        <v>1862</v>
      </c>
      <c r="F191" s="12" t="s">
        <v>212</v>
      </c>
      <c r="G191" s="12" t="s">
        <v>2332</v>
      </c>
      <c r="H191" s="12"/>
      <c r="I191" s="12"/>
      <c r="J191" s="12" t="s">
        <v>1867</v>
      </c>
      <c r="K191" s="45">
        <v>44375</v>
      </c>
      <c r="L191" s="45">
        <v>44375</v>
      </c>
      <c r="M191" s="45">
        <v>44377</v>
      </c>
      <c r="N191" s="12" t="s">
        <v>59</v>
      </c>
      <c r="O191" s="12" t="s">
        <v>60</v>
      </c>
      <c r="P191" s="12"/>
      <c r="Q191" s="12"/>
      <c r="R191" s="12" t="s">
        <v>1894</v>
      </c>
      <c r="S191" s="12"/>
      <c r="T191"/>
    </row>
    <row r="192" spans="1:20" ht="39" customHeight="1" x14ac:dyDescent="0.25">
      <c r="A192" s="12" t="s">
        <v>2333</v>
      </c>
      <c r="B192" s="12" t="s">
        <v>115</v>
      </c>
      <c r="C192" s="12" t="s">
        <v>116</v>
      </c>
      <c r="D192" s="12" t="s">
        <v>55</v>
      </c>
      <c r="E192" s="12" t="s">
        <v>1862</v>
      </c>
      <c r="F192" s="12" t="s">
        <v>56</v>
      </c>
      <c r="G192" s="12" t="s">
        <v>2334</v>
      </c>
      <c r="H192" s="12"/>
      <c r="I192" s="12"/>
      <c r="J192" s="12"/>
      <c r="K192" s="45">
        <v>43152</v>
      </c>
      <c r="L192" s="45">
        <v>43152</v>
      </c>
      <c r="M192" s="45">
        <v>43152</v>
      </c>
      <c r="N192" s="12" t="s">
        <v>91</v>
      </c>
      <c r="O192" s="12" t="s">
        <v>60</v>
      </c>
      <c r="P192" s="12"/>
      <c r="Q192" s="12"/>
      <c r="R192" s="12" t="s">
        <v>1871</v>
      </c>
      <c r="S192" s="12"/>
      <c r="T192"/>
    </row>
    <row r="193" spans="1:20" ht="78" customHeight="1" x14ac:dyDescent="0.25">
      <c r="A193" s="12" t="s">
        <v>2335</v>
      </c>
      <c r="B193" s="12" t="s">
        <v>115</v>
      </c>
      <c r="C193" s="12" t="s">
        <v>116</v>
      </c>
      <c r="D193" s="12" t="s">
        <v>224</v>
      </c>
      <c r="E193" s="12" t="s">
        <v>1862</v>
      </c>
      <c r="F193" s="12" t="s">
        <v>212</v>
      </c>
      <c r="G193" s="12" t="s">
        <v>2336</v>
      </c>
      <c r="H193" s="12"/>
      <c r="I193" s="12"/>
      <c r="J193" s="12" t="s">
        <v>915</v>
      </c>
      <c r="K193" s="45">
        <v>44796</v>
      </c>
      <c r="L193" s="45">
        <v>44796</v>
      </c>
      <c r="M193" s="45">
        <v>44796</v>
      </c>
      <c r="N193" s="12" t="s">
        <v>59</v>
      </c>
      <c r="O193" s="12" t="s">
        <v>60</v>
      </c>
      <c r="P193" s="12"/>
      <c r="Q193" s="12"/>
      <c r="R193" s="12" t="s">
        <v>1986</v>
      </c>
      <c r="S193" s="12"/>
      <c r="T193"/>
    </row>
    <row r="194" spans="1:20" ht="104.1" customHeight="1" x14ac:dyDescent="0.25">
      <c r="A194" s="12" t="s">
        <v>2337</v>
      </c>
      <c r="B194" s="12" t="s">
        <v>115</v>
      </c>
      <c r="C194" s="12" t="s">
        <v>116</v>
      </c>
      <c r="D194" s="12" t="s">
        <v>55</v>
      </c>
      <c r="E194" s="12" t="s">
        <v>1862</v>
      </c>
      <c r="F194" s="12" t="s">
        <v>56</v>
      </c>
      <c r="G194" s="12" t="s">
        <v>1873</v>
      </c>
      <c r="H194" s="12"/>
      <c r="I194" s="12"/>
      <c r="J194" s="12" t="s">
        <v>1867</v>
      </c>
      <c r="K194" s="45">
        <v>43444</v>
      </c>
      <c r="L194" s="45">
        <v>43444</v>
      </c>
      <c r="M194" s="45">
        <v>43445</v>
      </c>
      <c r="N194" s="12" t="s">
        <v>59</v>
      </c>
      <c r="O194" s="12" t="s">
        <v>60</v>
      </c>
      <c r="P194" s="12"/>
      <c r="Q194" s="12"/>
      <c r="R194" s="12" t="s">
        <v>1874</v>
      </c>
      <c r="S194" s="12"/>
      <c r="T194"/>
    </row>
    <row r="195" spans="1:20" ht="90.95" customHeight="1" x14ac:dyDescent="0.25">
      <c r="A195" s="12" t="s">
        <v>2338</v>
      </c>
      <c r="B195" s="12" t="s">
        <v>115</v>
      </c>
      <c r="C195" s="12" t="s">
        <v>116</v>
      </c>
      <c r="D195" s="12" t="s">
        <v>220</v>
      </c>
      <c r="E195" s="12" t="s">
        <v>1862</v>
      </c>
      <c r="F195" s="12" t="s">
        <v>1307</v>
      </c>
      <c r="G195" s="12" t="s">
        <v>2339</v>
      </c>
      <c r="H195" s="12"/>
      <c r="I195" s="12"/>
      <c r="J195" s="12" t="s">
        <v>2021</v>
      </c>
      <c r="K195" s="45">
        <v>45265</v>
      </c>
      <c r="L195" s="45">
        <v>45265</v>
      </c>
      <c r="M195" s="45">
        <v>45265</v>
      </c>
      <c r="N195" s="12" t="s">
        <v>59</v>
      </c>
      <c r="O195" s="12" t="s">
        <v>60</v>
      </c>
      <c r="P195" s="12"/>
      <c r="Q195" s="12"/>
      <c r="R195" s="12" t="s">
        <v>1918</v>
      </c>
      <c r="S195" s="12"/>
      <c r="T195"/>
    </row>
    <row r="196" spans="1:20" ht="65.099999999999994" customHeight="1" x14ac:dyDescent="0.25">
      <c r="A196" s="12" t="s">
        <v>2340</v>
      </c>
      <c r="B196" s="12" t="s">
        <v>115</v>
      </c>
      <c r="C196" s="12" t="s">
        <v>116</v>
      </c>
      <c r="D196" s="12" t="s">
        <v>236</v>
      </c>
      <c r="E196" s="12" t="s">
        <v>1862</v>
      </c>
      <c r="F196" s="12" t="s">
        <v>56</v>
      </c>
      <c r="G196" s="12" t="s">
        <v>1866</v>
      </c>
      <c r="H196" s="12"/>
      <c r="I196" s="12"/>
      <c r="J196" s="12" t="s">
        <v>1867</v>
      </c>
      <c r="K196" s="45">
        <v>43550</v>
      </c>
      <c r="L196" s="45">
        <v>43550</v>
      </c>
      <c r="M196" s="45">
        <v>43553</v>
      </c>
      <c r="N196" s="12" t="s">
        <v>59</v>
      </c>
      <c r="O196" s="12" t="s">
        <v>60</v>
      </c>
      <c r="P196" s="12"/>
      <c r="Q196" s="12"/>
      <c r="R196" s="12" t="s">
        <v>1868</v>
      </c>
      <c r="S196" s="12"/>
      <c r="T196"/>
    </row>
    <row r="197" spans="1:20" ht="39" customHeight="1" x14ac:dyDescent="0.25">
      <c r="A197" s="12" t="s">
        <v>2341</v>
      </c>
      <c r="B197" s="12" t="s">
        <v>115</v>
      </c>
      <c r="C197" s="12" t="s">
        <v>116</v>
      </c>
      <c r="D197" s="12" t="s">
        <v>224</v>
      </c>
      <c r="E197" s="12" t="s">
        <v>1862</v>
      </c>
      <c r="F197" s="12" t="s">
        <v>212</v>
      </c>
      <c r="G197" s="12" t="s">
        <v>2342</v>
      </c>
      <c r="H197" s="12"/>
      <c r="I197" s="12"/>
      <c r="J197" s="12" t="s">
        <v>915</v>
      </c>
      <c r="K197" s="45">
        <v>44757</v>
      </c>
      <c r="L197" s="45">
        <v>44757</v>
      </c>
      <c r="M197" s="45">
        <v>44771</v>
      </c>
      <c r="N197" s="12" t="s">
        <v>59</v>
      </c>
      <c r="O197" s="12" t="s">
        <v>60</v>
      </c>
      <c r="P197" s="12"/>
      <c r="Q197" s="12"/>
      <c r="R197" s="12" t="s">
        <v>1900</v>
      </c>
      <c r="S197" s="12"/>
      <c r="T197"/>
    </row>
    <row r="198" spans="1:20" ht="39" customHeight="1" x14ac:dyDescent="0.25">
      <c r="A198" s="12" t="s">
        <v>2343</v>
      </c>
      <c r="B198" s="12" t="s">
        <v>115</v>
      </c>
      <c r="C198" s="12" t="s">
        <v>116</v>
      </c>
      <c r="D198" s="12" t="s">
        <v>224</v>
      </c>
      <c r="E198" s="12" t="s">
        <v>1862</v>
      </c>
      <c r="F198" s="12" t="s">
        <v>212</v>
      </c>
      <c r="G198" s="12" t="s">
        <v>2344</v>
      </c>
      <c r="H198" s="12"/>
      <c r="I198" s="12"/>
      <c r="J198" s="12" t="s">
        <v>915</v>
      </c>
      <c r="K198" s="45">
        <v>44860</v>
      </c>
      <c r="L198" s="45">
        <v>44860</v>
      </c>
      <c r="M198" s="45">
        <v>44860</v>
      </c>
      <c r="N198" s="12" t="s">
        <v>59</v>
      </c>
      <c r="O198" s="12" t="s">
        <v>60</v>
      </c>
      <c r="P198" s="12"/>
      <c r="Q198" s="12"/>
      <c r="R198" s="12" t="s">
        <v>1910</v>
      </c>
      <c r="S198" s="12"/>
      <c r="T198"/>
    </row>
    <row r="199" spans="1:20" ht="65.099999999999994" customHeight="1" x14ac:dyDescent="0.25">
      <c r="A199" s="12" t="s">
        <v>2345</v>
      </c>
      <c r="B199" s="12" t="s">
        <v>115</v>
      </c>
      <c r="C199" s="12" t="s">
        <v>116</v>
      </c>
      <c r="D199" s="12" t="s">
        <v>252</v>
      </c>
      <c r="E199" s="12" t="s">
        <v>1862</v>
      </c>
      <c r="F199" s="12" t="s">
        <v>1307</v>
      </c>
      <c r="G199" s="12" t="s">
        <v>2346</v>
      </c>
      <c r="H199" s="12"/>
      <c r="I199" s="12"/>
      <c r="J199" s="12"/>
      <c r="K199" s="45">
        <v>45350</v>
      </c>
      <c r="L199" s="45">
        <v>45350</v>
      </c>
      <c r="M199" s="45">
        <v>45350</v>
      </c>
      <c r="N199" s="12" t="s">
        <v>59</v>
      </c>
      <c r="O199" s="12" t="s">
        <v>60</v>
      </c>
      <c r="P199" s="12"/>
      <c r="Q199" s="12"/>
      <c r="R199" s="12" t="s">
        <v>1963</v>
      </c>
      <c r="S199" s="12"/>
      <c r="T199"/>
    </row>
    <row r="200" spans="1:20" ht="104.1" customHeight="1" x14ac:dyDescent="0.25">
      <c r="A200" s="12" t="s">
        <v>2347</v>
      </c>
      <c r="B200" s="12" t="s">
        <v>115</v>
      </c>
      <c r="C200" s="12" t="s">
        <v>116</v>
      </c>
      <c r="D200" s="12" t="s">
        <v>220</v>
      </c>
      <c r="E200" s="12" t="s">
        <v>1862</v>
      </c>
      <c r="F200" s="12" t="s">
        <v>1307</v>
      </c>
      <c r="G200" s="12" t="s">
        <v>2348</v>
      </c>
      <c r="H200" s="12"/>
      <c r="I200" s="12"/>
      <c r="J200" s="12" t="s">
        <v>2021</v>
      </c>
      <c r="K200" s="45"/>
      <c r="L200" s="45">
        <v>45265</v>
      </c>
      <c r="M200" s="45">
        <v>45265</v>
      </c>
      <c r="N200" s="12" t="s">
        <v>59</v>
      </c>
      <c r="O200" s="12" t="s">
        <v>60</v>
      </c>
      <c r="P200" s="12"/>
      <c r="Q200" s="12"/>
      <c r="R200" s="12" t="s">
        <v>1956</v>
      </c>
      <c r="S200" s="12"/>
      <c r="T200"/>
    </row>
    <row r="201" spans="1:20" ht="78" customHeight="1" x14ac:dyDescent="0.25">
      <c r="A201" s="12" t="s">
        <v>2349</v>
      </c>
      <c r="B201" s="12" t="s">
        <v>115</v>
      </c>
      <c r="C201" s="12" t="s">
        <v>116</v>
      </c>
      <c r="D201" s="12" t="s">
        <v>236</v>
      </c>
      <c r="E201" s="12" t="s">
        <v>1862</v>
      </c>
      <c r="F201" s="12" t="s">
        <v>56</v>
      </c>
      <c r="G201" s="12" t="s">
        <v>2046</v>
      </c>
      <c r="H201" s="12"/>
      <c r="I201" s="12"/>
      <c r="J201" s="12" t="s">
        <v>1867</v>
      </c>
      <c r="K201" s="45">
        <v>43566</v>
      </c>
      <c r="L201" s="45">
        <v>43566</v>
      </c>
      <c r="M201" s="45">
        <v>43594</v>
      </c>
      <c r="N201" s="12" t="s">
        <v>91</v>
      </c>
      <c r="O201" s="12" t="s">
        <v>60</v>
      </c>
      <c r="P201" s="12"/>
      <c r="Q201" s="12"/>
      <c r="R201" s="12" t="s">
        <v>1929</v>
      </c>
      <c r="S201" s="12"/>
      <c r="T201"/>
    </row>
    <row r="202" spans="1:20" ht="104.1" customHeight="1" x14ac:dyDescent="0.25">
      <c r="A202" s="12" t="s">
        <v>2350</v>
      </c>
      <c r="B202" s="12" t="s">
        <v>115</v>
      </c>
      <c r="C202" s="12" t="s">
        <v>116</v>
      </c>
      <c r="D202" s="12" t="s">
        <v>252</v>
      </c>
      <c r="E202" s="12" t="s">
        <v>1862</v>
      </c>
      <c r="F202" s="12" t="s">
        <v>56</v>
      </c>
      <c r="G202" s="12" t="s">
        <v>2351</v>
      </c>
      <c r="H202" s="12"/>
      <c r="I202" s="12"/>
      <c r="J202" s="12" t="s">
        <v>1885</v>
      </c>
      <c r="K202" s="45">
        <v>45594</v>
      </c>
      <c r="L202" s="45">
        <v>45594</v>
      </c>
      <c r="M202" s="45">
        <v>45590</v>
      </c>
      <c r="N202" s="12" t="s">
        <v>59</v>
      </c>
      <c r="O202" s="12" t="s">
        <v>60</v>
      </c>
      <c r="P202" s="12"/>
      <c r="Q202" s="12"/>
      <c r="R202" s="12" t="s">
        <v>1942</v>
      </c>
      <c r="S202" s="12"/>
      <c r="T202"/>
    </row>
    <row r="203" spans="1:20" ht="51.95" customHeight="1" x14ac:dyDescent="0.25">
      <c r="A203" s="12" t="s">
        <v>2352</v>
      </c>
      <c r="B203" s="12" t="s">
        <v>115</v>
      </c>
      <c r="C203" s="12" t="s">
        <v>116</v>
      </c>
      <c r="D203" s="12" t="s">
        <v>228</v>
      </c>
      <c r="E203" s="12" t="s">
        <v>1862</v>
      </c>
      <c r="F203" s="12" t="s">
        <v>56</v>
      </c>
      <c r="G203" s="12" t="s">
        <v>2353</v>
      </c>
      <c r="H203" s="12"/>
      <c r="I203" s="12"/>
      <c r="J203" s="12" t="s">
        <v>90</v>
      </c>
      <c r="K203" s="45">
        <v>44375</v>
      </c>
      <c r="L203" s="45">
        <v>44375</v>
      </c>
      <c r="M203" s="45">
        <v>44377</v>
      </c>
      <c r="N203" s="12" t="s">
        <v>59</v>
      </c>
      <c r="O203" s="12" t="s">
        <v>60</v>
      </c>
      <c r="P203" s="12"/>
      <c r="Q203" s="12"/>
      <c r="R203" s="12" t="s">
        <v>1904</v>
      </c>
      <c r="S203" s="12"/>
      <c r="T203"/>
    </row>
    <row r="204" spans="1:20" ht="65.099999999999994" customHeight="1" x14ac:dyDescent="0.25">
      <c r="A204" s="12" t="s">
        <v>2354</v>
      </c>
      <c r="B204" s="12" t="s">
        <v>121</v>
      </c>
      <c r="C204" s="12" t="s">
        <v>122</v>
      </c>
      <c r="D204" s="12" t="s">
        <v>83</v>
      </c>
      <c r="E204" s="12" t="s">
        <v>1862</v>
      </c>
      <c r="F204" s="12" t="s">
        <v>56</v>
      </c>
      <c r="G204" s="12" t="s">
        <v>2304</v>
      </c>
      <c r="H204" s="12"/>
      <c r="I204" s="12"/>
      <c r="J204" s="12"/>
      <c r="K204" s="45">
        <v>42776</v>
      </c>
      <c r="L204" s="45"/>
      <c r="M204" s="45">
        <v>42776</v>
      </c>
      <c r="N204" s="12" t="s">
        <v>91</v>
      </c>
      <c r="O204" s="12" t="s">
        <v>60</v>
      </c>
      <c r="P204" s="12"/>
      <c r="Q204" s="12"/>
      <c r="R204" s="12" t="s">
        <v>1864</v>
      </c>
      <c r="S204" s="12"/>
      <c r="T204"/>
    </row>
    <row r="205" spans="1:20" ht="65.099999999999994" customHeight="1" x14ac:dyDescent="0.25">
      <c r="A205" s="12" t="s">
        <v>2355</v>
      </c>
      <c r="B205" s="12" t="s">
        <v>121</v>
      </c>
      <c r="C205" s="12" t="s">
        <v>122</v>
      </c>
      <c r="D205" s="12" t="s">
        <v>252</v>
      </c>
      <c r="E205" s="12" t="s">
        <v>1862</v>
      </c>
      <c r="F205" s="12" t="s">
        <v>56</v>
      </c>
      <c r="G205" s="12" t="s">
        <v>2356</v>
      </c>
      <c r="H205" s="12"/>
      <c r="I205" s="12"/>
      <c r="J205" s="12" t="s">
        <v>1867</v>
      </c>
      <c r="K205" s="45">
        <v>45427</v>
      </c>
      <c r="L205" s="45">
        <v>45427</v>
      </c>
      <c r="M205" s="45">
        <v>45427</v>
      </c>
      <c r="N205" s="12" t="s">
        <v>59</v>
      </c>
      <c r="O205" s="12" t="s">
        <v>60</v>
      </c>
      <c r="P205" s="12"/>
      <c r="Q205" s="12"/>
      <c r="R205" s="12" t="s">
        <v>2194</v>
      </c>
      <c r="S205" s="12"/>
      <c r="T205"/>
    </row>
    <row r="206" spans="1:20" ht="51.95" customHeight="1" x14ac:dyDescent="0.25">
      <c r="A206" s="12" t="s">
        <v>2357</v>
      </c>
      <c r="B206" s="12" t="s">
        <v>121</v>
      </c>
      <c r="C206" s="12" t="s">
        <v>122</v>
      </c>
      <c r="D206" s="12" t="s">
        <v>252</v>
      </c>
      <c r="E206" s="12" t="s">
        <v>1862</v>
      </c>
      <c r="F206" s="12" t="s">
        <v>212</v>
      </c>
      <c r="G206" s="12" t="s">
        <v>2358</v>
      </c>
      <c r="H206" s="12"/>
      <c r="I206" s="12"/>
      <c r="J206" s="12" t="s">
        <v>915</v>
      </c>
      <c r="K206" s="45">
        <v>45427</v>
      </c>
      <c r="L206" s="45">
        <v>45427</v>
      </c>
      <c r="M206" s="45">
        <v>45427</v>
      </c>
      <c r="N206" s="12" t="s">
        <v>59</v>
      </c>
      <c r="O206" s="12" t="s">
        <v>60</v>
      </c>
      <c r="P206" s="12"/>
      <c r="Q206" s="12"/>
      <c r="R206" s="12" t="s">
        <v>1963</v>
      </c>
      <c r="S206" s="12"/>
      <c r="T206"/>
    </row>
    <row r="207" spans="1:20" ht="78" customHeight="1" x14ac:dyDescent="0.25">
      <c r="A207" s="12" t="s">
        <v>2359</v>
      </c>
      <c r="B207" s="12" t="s">
        <v>121</v>
      </c>
      <c r="C207" s="12" t="s">
        <v>122</v>
      </c>
      <c r="D207" s="12" t="s">
        <v>236</v>
      </c>
      <c r="E207" s="12" t="s">
        <v>1862</v>
      </c>
      <c r="F207" s="12" t="s">
        <v>56</v>
      </c>
      <c r="G207" s="12" t="s">
        <v>1873</v>
      </c>
      <c r="H207" s="12"/>
      <c r="I207" s="12"/>
      <c r="J207" s="12" t="s">
        <v>1867</v>
      </c>
      <c r="K207" s="45">
        <v>43507</v>
      </c>
      <c r="L207" s="45"/>
      <c r="M207" s="45">
        <v>43507</v>
      </c>
      <c r="N207" s="12" t="s">
        <v>59</v>
      </c>
      <c r="O207" s="12" t="s">
        <v>60</v>
      </c>
      <c r="P207" s="12"/>
      <c r="Q207" s="12"/>
      <c r="R207" s="12" t="s">
        <v>1874</v>
      </c>
      <c r="S207" s="12"/>
      <c r="T207"/>
    </row>
    <row r="208" spans="1:20" ht="129.94999999999999" customHeight="1" x14ac:dyDescent="0.25">
      <c r="A208" s="12" t="s">
        <v>2360</v>
      </c>
      <c r="B208" s="12" t="s">
        <v>121</v>
      </c>
      <c r="C208" s="12" t="s">
        <v>122</v>
      </c>
      <c r="D208" s="12" t="s">
        <v>252</v>
      </c>
      <c r="E208" s="12" t="s">
        <v>1862</v>
      </c>
      <c r="F208" s="12" t="s">
        <v>56</v>
      </c>
      <c r="G208" s="12" t="s">
        <v>2361</v>
      </c>
      <c r="H208" s="12"/>
      <c r="I208" s="12"/>
      <c r="J208" s="12" t="s">
        <v>1885</v>
      </c>
      <c r="K208" s="45"/>
      <c r="L208" s="45"/>
      <c r="M208" s="45">
        <v>45583</v>
      </c>
      <c r="N208" s="12" t="s">
        <v>59</v>
      </c>
      <c r="O208" s="12" t="s">
        <v>60</v>
      </c>
      <c r="P208" s="12"/>
      <c r="Q208" s="12"/>
      <c r="R208" s="12" t="s">
        <v>1886</v>
      </c>
      <c r="S208" s="12"/>
      <c r="T208"/>
    </row>
    <row r="209" spans="1:20" ht="168.95" customHeight="1" x14ac:dyDescent="0.25">
      <c r="A209" s="12" t="s">
        <v>2362</v>
      </c>
      <c r="B209" s="12" t="s">
        <v>121</v>
      </c>
      <c r="C209" s="12" t="s">
        <v>122</v>
      </c>
      <c r="D209" s="12" t="s">
        <v>252</v>
      </c>
      <c r="E209" s="12" t="s">
        <v>1862</v>
      </c>
      <c r="F209" s="12" t="s">
        <v>56</v>
      </c>
      <c r="G209" s="12" t="s">
        <v>2363</v>
      </c>
      <c r="H209" s="12"/>
      <c r="I209" s="12"/>
      <c r="J209" s="12" t="s">
        <v>1880</v>
      </c>
      <c r="K209" s="45"/>
      <c r="L209" s="45"/>
      <c r="M209" s="45">
        <v>45427</v>
      </c>
      <c r="N209" s="12" t="s">
        <v>59</v>
      </c>
      <c r="O209" s="12" t="s">
        <v>60</v>
      </c>
      <c r="P209" s="12"/>
      <c r="Q209" s="12"/>
      <c r="R209" s="12" t="s">
        <v>1918</v>
      </c>
      <c r="S209" s="12"/>
      <c r="T209"/>
    </row>
    <row r="210" spans="1:20" ht="90.95" customHeight="1" x14ac:dyDescent="0.25">
      <c r="A210" s="12" t="s">
        <v>2364</v>
      </c>
      <c r="B210" s="12" t="s">
        <v>121</v>
      </c>
      <c r="C210" s="12" t="s">
        <v>122</v>
      </c>
      <c r="D210" s="12" t="s">
        <v>55</v>
      </c>
      <c r="E210" s="12" t="s">
        <v>1862</v>
      </c>
      <c r="F210" s="12" t="s">
        <v>56</v>
      </c>
      <c r="G210" s="12" t="s">
        <v>1870</v>
      </c>
      <c r="H210" s="12"/>
      <c r="I210" s="12"/>
      <c r="J210" s="12"/>
      <c r="K210" s="45">
        <v>43188</v>
      </c>
      <c r="L210" s="45">
        <v>43188</v>
      </c>
      <c r="M210" s="45">
        <v>43188</v>
      </c>
      <c r="N210" s="12" t="s">
        <v>91</v>
      </c>
      <c r="O210" s="12" t="s">
        <v>60</v>
      </c>
      <c r="P210" s="12"/>
      <c r="Q210" s="12"/>
      <c r="R210" s="12" t="s">
        <v>1871</v>
      </c>
      <c r="S210" s="12"/>
      <c r="T210"/>
    </row>
    <row r="211" spans="1:20" ht="90.95" customHeight="1" x14ac:dyDescent="0.25">
      <c r="A211" s="12" t="s">
        <v>2365</v>
      </c>
      <c r="B211" s="12" t="s">
        <v>121</v>
      </c>
      <c r="C211" s="12" t="s">
        <v>122</v>
      </c>
      <c r="D211" s="12" t="s">
        <v>236</v>
      </c>
      <c r="E211" s="12" t="s">
        <v>1862</v>
      </c>
      <c r="F211" s="12" t="s">
        <v>56</v>
      </c>
      <c r="G211" s="12" t="s">
        <v>1866</v>
      </c>
      <c r="H211" s="12"/>
      <c r="I211" s="12"/>
      <c r="J211" s="12" t="s">
        <v>1867</v>
      </c>
      <c r="K211" s="45">
        <v>43598</v>
      </c>
      <c r="L211" s="45">
        <v>43598</v>
      </c>
      <c r="M211" s="45">
        <v>43598</v>
      </c>
      <c r="N211" s="12" t="s">
        <v>59</v>
      </c>
      <c r="O211" s="12" t="s">
        <v>60</v>
      </c>
      <c r="P211" s="12"/>
      <c r="Q211" s="12"/>
      <c r="R211" s="12" t="s">
        <v>1868</v>
      </c>
      <c r="S211" s="12"/>
      <c r="T211"/>
    </row>
    <row r="212" spans="1:20" ht="143.1" customHeight="1" x14ac:dyDescent="0.25">
      <c r="A212" s="12" t="s">
        <v>2366</v>
      </c>
      <c r="B212" s="12" t="s">
        <v>121</v>
      </c>
      <c r="C212" s="12" t="s">
        <v>122</v>
      </c>
      <c r="D212" s="12" t="s">
        <v>220</v>
      </c>
      <c r="E212" s="12" t="s">
        <v>1862</v>
      </c>
      <c r="F212" s="12" t="s">
        <v>212</v>
      </c>
      <c r="G212" s="12" t="s">
        <v>2367</v>
      </c>
      <c r="H212" s="12"/>
      <c r="I212" s="12"/>
      <c r="J212" s="12" t="s">
        <v>90</v>
      </c>
      <c r="K212" s="45">
        <v>44971</v>
      </c>
      <c r="L212" s="45">
        <v>44971</v>
      </c>
      <c r="M212" s="45">
        <v>44971</v>
      </c>
      <c r="N212" s="12" t="s">
        <v>59</v>
      </c>
      <c r="O212" s="12" t="s">
        <v>60</v>
      </c>
      <c r="P212" s="12"/>
      <c r="Q212" s="12"/>
      <c r="R212" s="12" t="s">
        <v>1910</v>
      </c>
      <c r="S212" s="12"/>
      <c r="T212"/>
    </row>
    <row r="213" spans="1:20" ht="260.10000000000002" customHeight="1" x14ac:dyDescent="0.25">
      <c r="A213" s="12" t="s">
        <v>2368</v>
      </c>
      <c r="B213" s="12" t="s">
        <v>121</v>
      </c>
      <c r="C213" s="12" t="s">
        <v>122</v>
      </c>
      <c r="D213" s="12" t="s">
        <v>252</v>
      </c>
      <c r="E213" s="12" t="s">
        <v>1862</v>
      </c>
      <c r="F213" s="12" t="s">
        <v>56</v>
      </c>
      <c r="G213" s="12" t="s">
        <v>2369</v>
      </c>
      <c r="H213" s="12"/>
      <c r="I213" s="12"/>
      <c r="J213" s="12" t="s">
        <v>1880</v>
      </c>
      <c r="K213" s="45">
        <v>45427</v>
      </c>
      <c r="L213" s="45">
        <v>45427</v>
      </c>
      <c r="M213" s="45">
        <v>45427</v>
      </c>
      <c r="N213" s="12" t="s">
        <v>59</v>
      </c>
      <c r="O213" s="12" t="s">
        <v>60</v>
      </c>
      <c r="P213" s="12"/>
      <c r="Q213" s="12"/>
      <c r="R213" s="12" t="s">
        <v>1968</v>
      </c>
      <c r="S213" s="12"/>
      <c r="T213"/>
    </row>
    <row r="214" spans="1:20" ht="117" customHeight="1" x14ac:dyDescent="0.25">
      <c r="A214" s="12" t="s">
        <v>2370</v>
      </c>
      <c r="B214" s="12" t="s">
        <v>121</v>
      </c>
      <c r="C214" s="12" t="s">
        <v>122</v>
      </c>
      <c r="D214" s="12" t="s">
        <v>252</v>
      </c>
      <c r="E214" s="12" t="s">
        <v>1862</v>
      </c>
      <c r="F214" s="12" t="s">
        <v>56</v>
      </c>
      <c r="G214" s="12" t="s">
        <v>2371</v>
      </c>
      <c r="H214" s="12"/>
      <c r="I214" s="12"/>
      <c r="J214" s="12" t="s">
        <v>1880</v>
      </c>
      <c r="K214" s="45">
        <v>45427</v>
      </c>
      <c r="L214" s="45">
        <v>45427</v>
      </c>
      <c r="M214" s="45">
        <v>45427</v>
      </c>
      <c r="N214" s="12" t="s">
        <v>59</v>
      </c>
      <c r="O214" s="12" t="s">
        <v>60</v>
      </c>
      <c r="P214" s="12"/>
      <c r="Q214" s="12"/>
      <c r="R214" s="12" t="s">
        <v>1975</v>
      </c>
      <c r="S214" s="12"/>
      <c r="T214"/>
    </row>
    <row r="215" spans="1:20" ht="129.94999999999999" customHeight="1" x14ac:dyDescent="0.25">
      <c r="A215" s="12" t="s">
        <v>2372</v>
      </c>
      <c r="B215" s="12" t="s">
        <v>121</v>
      </c>
      <c r="C215" s="12" t="s">
        <v>122</v>
      </c>
      <c r="D215" s="12" t="s">
        <v>224</v>
      </c>
      <c r="E215" s="12" t="s">
        <v>1862</v>
      </c>
      <c r="F215" s="12" t="s">
        <v>212</v>
      </c>
      <c r="G215" s="12" t="s">
        <v>2373</v>
      </c>
      <c r="H215" s="12"/>
      <c r="I215" s="12"/>
      <c r="J215" s="12"/>
      <c r="K215" s="45">
        <v>44693</v>
      </c>
      <c r="L215" s="45">
        <v>44693</v>
      </c>
      <c r="M215" s="45">
        <v>44693</v>
      </c>
      <c r="N215" s="12" t="s">
        <v>59</v>
      </c>
      <c r="O215" s="12" t="s">
        <v>60</v>
      </c>
      <c r="P215" s="12"/>
      <c r="Q215" s="12"/>
      <c r="R215" s="12" t="s">
        <v>1938</v>
      </c>
      <c r="S215" s="12"/>
      <c r="T215"/>
    </row>
    <row r="216" spans="1:20" ht="51.95" customHeight="1" x14ac:dyDescent="0.25">
      <c r="A216" s="12" t="s">
        <v>2374</v>
      </c>
      <c r="B216" s="12" t="s">
        <v>121</v>
      </c>
      <c r="C216" s="12" t="s">
        <v>122</v>
      </c>
      <c r="D216" s="12" t="s">
        <v>236</v>
      </c>
      <c r="E216" s="12" t="s">
        <v>1862</v>
      </c>
      <c r="F216" s="12" t="s">
        <v>56</v>
      </c>
      <c r="G216" s="12" t="s">
        <v>1876</v>
      </c>
      <c r="H216" s="12"/>
      <c r="I216" s="12"/>
      <c r="J216" s="12" t="s">
        <v>1867</v>
      </c>
      <c r="K216" s="45">
        <v>43598</v>
      </c>
      <c r="L216" s="45">
        <v>43598</v>
      </c>
      <c r="M216" s="45">
        <v>43598</v>
      </c>
      <c r="N216" s="12" t="s">
        <v>59</v>
      </c>
      <c r="O216" s="12" t="s">
        <v>60</v>
      </c>
      <c r="P216" s="12"/>
      <c r="Q216" s="12"/>
      <c r="R216" s="12" t="s">
        <v>1877</v>
      </c>
      <c r="S216" s="12"/>
      <c r="T216"/>
    </row>
    <row r="217" spans="1:20" ht="39" customHeight="1" x14ac:dyDescent="0.25">
      <c r="A217" s="12" t="s">
        <v>2375</v>
      </c>
      <c r="B217" s="12" t="s">
        <v>121</v>
      </c>
      <c r="C217" s="12" t="s">
        <v>122</v>
      </c>
      <c r="D217" s="12" t="s">
        <v>83</v>
      </c>
      <c r="E217" s="12" t="s">
        <v>1862</v>
      </c>
      <c r="F217" s="12" t="s">
        <v>56</v>
      </c>
      <c r="G217" s="12" t="s">
        <v>1879</v>
      </c>
      <c r="H217" s="12"/>
      <c r="I217" s="12"/>
      <c r="J217" s="12"/>
      <c r="K217" s="45">
        <v>42776</v>
      </c>
      <c r="L217" s="45"/>
      <c r="M217" s="45">
        <v>42776</v>
      </c>
      <c r="N217" s="12" t="s">
        <v>91</v>
      </c>
      <c r="O217" s="12" t="s">
        <v>60</v>
      </c>
      <c r="P217" s="12"/>
      <c r="Q217" s="12"/>
      <c r="R217" s="12" t="s">
        <v>1881</v>
      </c>
      <c r="S217" s="12"/>
      <c r="T217"/>
    </row>
    <row r="218" spans="1:20" ht="39" customHeight="1" x14ac:dyDescent="0.25">
      <c r="A218" s="12" t="s">
        <v>2376</v>
      </c>
      <c r="B218" s="12" t="s">
        <v>121</v>
      </c>
      <c r="C218" s="12" t="s">
        <v>122</v>
      </c>
      <c r="D218" s="12" t="s">
        <v>252</v>
      </c>
      <c r="E218" s="12" t="s">
        <v>1862</v>
      </c>
      <c r="F218" s="12" t="s">
        <v>212</v>
      </c>
      <c r="G218" s="12" t="s">
        <v>2377</v>
      </c>
      <c r="H218" s="12"/>
      <c r="I218" s="12"/>
      <c r="J218" s="12" t="s">
        <v>915</v>
      </c>
      <c r="K218" s="45">
        <v>45427</v>
      </c>
      <c r="L218" s="45">
        <v>45427</v>
      </c>
      <c r="M218" s="45">
        <v>45427</v>
      </c>
      <c r="N218" s="12" t="s">
        <v>59</v>
      </c>
      <c r="O218" s="12" t="s">
        <v>60</v>
      </c>
      <c r="P218" s="12"/>
      <c r="Q218" s="12"/>
      <c r="R218" s="12" t="s">
        <v>1978</v>
      </c>
      <c r="S218" s="12"/>
      <c r="T218"/>
    </row>
    <row r="219" spans="1:20" ht="39" customHeight="1" x14ac:dyDescent="0.25">
      <c r="A219" s="12" t="s">
        <v>2378</v>
      </c>
      <c r="B219" s="12" t="s">
        <v>121</v>
      </c>
      <c r="C219" s="12" t="s">
        <v>122</v>
      </c>
      <c r="D219" s="12" t="s">
        <v>252</v>
      </c>
      <c r="E219" s="12" t="s">
        <v>1862</v>
      </c>
      <c r="F219" s="12" t="s">
        <v>56</v>
      </c>
      <c r="G219" s="12" t="s">
        <v>2379</v>
      </c>
      <c r="H219" s="12"/>
      <c r="I219" s="12"/>
      <c r="J219" s="12" t="s">
        <v>1885</v>
      </c>
      <c r="K219" s="45"/>
      <c r="L219" s="45"/>
      <c r="M219" s="45">
        <v>45583</v>
      </c>
      <c r="N219" s="12" t="s">
        <v>59</v>
      </c>
      <c r="O219" s="12" t="s">
        <v>60</v>
      </c>
      <c r="P219" s="12"/>
      <c r="Q219" s="12"/>
      <c r="R219" s="12" t="s">
        <v>1942</v>
      </c>
      <c r="S219" s="12"/>
      <c r="T219"/>
    </row>
    <row r="220" spans="1:20" ht="39" customHeight="1" x14ac:dyDescent="0.25">
      <c r="A220" s="12" t="s">
        <v>2380</v>
      </c>
      <c r="B220" s="12" t="s">
        <v>121</v>
      </c>
      <c r="C220" s="12" t="s">
        <v>122</v>
      </c>
      <c r="D220" s="12" t="s">
        <v>220</v>
      </c>
      <c r="E220" s="12" t="s">
        <v>1862</v>
      </c>
      <c r="F220" s="12" t="s">
        <v>212</v>
      </c>
      <c r="G220" s="12" t="s">
        <v>2381</v>
      </c>
      <c r="H220" s="12"/>
      <c r="I220" s="12"/>
      <c r="J220" s="12" t="s">
        <v>90</v>
      </c>
      <c r="K220" s="45">
        <v>44971</v>
      </c>
      <c r="L220" s="45">
        <v>44971</v>
      </c>
      <c r="M220" s="45">
        <v>44971</v>
      </c>
      <c r="N220" s="12" t="s">
        <v>59</v>
      </c>
      <c r="O220" s="12" t="s">
        <v>60</v>
      </c>
      <c r="P220" s="12"/>
      <c r="Q220" s="12"/>
      <c r="R220" s="12" t="s">
        <v>1900</v>
      </c>
      <c r="S220" s="12"/>
      <c r="T220"/>
    </row>
    <row r="221" spans="1:20" ht="39" customHeight="1" x14ac:dyDescent="0.25">
      <c r="A221" s="12" t="s">
        <v>2382</v>
      </c>
      <c r="B221" s="12" t="s">
        <v>121</v>
      </c>
      <c r="C221" s="12" t="s">
        <v>122</v>
      </c>
      <c r="D221" s="12" t="s">
        <v>220</v>
      </c>
      <c r="E221" s="12" t="s">
        <v>1862</v>
      </c>
      <c r="F221" s="12" t="s">
        <v>212</v>
      </c>
      <c r="G221" s="12" t="s">
        <v>2383</v>
      </c>
      <c r="H221" s="12"/>
      <c r="I221" s="12"/>
      <c r="J221" s="12" t="s">
        <v>90</v>
      </c>
      <c r="K221" s="45">
        <v>44971</v>
      </c>
      <c r="L221" s="45">
        <v>44971</v>
      </c>
      <c r="M221" s="45">
        <v>44971</v>
      </c>
      <c r="N221" s="12" t="s">
        <v>59</v>
      </c>
      <c r="O221" s="12" t="s">
        <v>60</v>
      </c>
      <c r="P221" s="12"/>
      <c r="Q221" s="12"/>
      <c r="R221" s="12" t="s">
        <v>1981</v>
      </c>
      <c r="S221" s="12"/>
      <c r="T221"/>
    </row>
    <row r="222" spans="1:20" ht="39" customHeight="1" x14ac:dyDescent="0.25">
      <c r="A222" s="12" t="s">
        <v>2384</v>
      </c>
      <c r="B222" s="12" t="s">
        <v>121</v>
      </c>
      <c r="C222" s="12" t="s">
        <v>122</v>
      </c>
      <c r="D222" s="12" t="s">
        <v>224</v>
      </c>
      <c r="E222" s="12" t="s">
        <v>1862</v>
      </c>
      <c r="F222" s="12" t="s">
        <v>212</v>
      </c>
      <c r="G222" s="12" t="s">
        <v>2385</v>
      </c>
      <c r="H222" s="12"/>
      <c r="I222" s="12"/>
      <c r="J222" s="12"/>
      <c r="K222" s="45">
        <v>44672</v>
      </c>
      <c r="L222" s="45">
        <v>44672</v>
      </c>
      <c r="M222" s="45">
        <v>44672</v>
      </c>
      <c r="N222" s="12" t="s">
        <v>59</v>
      </c>
      <c r="O222" s="12" t="s">
        <v>60</v>
      </c>
      <c r="P222" s="12"/>
      <c r="Q222" s="12"/>
      <c r="R222" s="12" t="s">
        <v>1904</v>
      </c>
      <c r="S222" s="12"/>
      <c r="T222"/>
    </row>
    <row r="223" spans="1:20" ht="39" customHeight="1" x14ac:dyDescent="0.25">
      <c r="A223" s="12" t="s">
        <v>2386</v>
      </c>
      <c r="B223" s="12" t="s">
        <v>121</v>
      </c>
      <c r="C223" s="12" t="s">
        <v>122</v>
      </c>
      <c r="D223" s="12" t="s">
        <v>224</v>
      </c>
      <c r="E223" s="12" t="s">
        <v>1862</v>
      </c>
      <c r="F223" s="12" t="s">
        <v>212</v>
      </c>
      <c r="G223" s="12" t="s">
        <v>2387</v>
      </c>
      <c r="H223" s="12"/>
      <c r="I223" s="12"/>
      <c r="J223" s="12"/>
      <c r="K223" s="45">
        <v>44693</v>
      </c>
      <c r="L223" s="45">
        <v>44693</v>
      </c>
      <c r="M223" s="45">
        <v>44693</v>
      </c>
      <c r="N223" s="12" t="s">
        <v>59</v>
      </c>
      <c r="O223" s="12" t="s">
        <v>60</v>
      </c>
      <c r="P223" s="12"/>
      <c r="Q223" s="12"/>
      <c r="R223" s="12" t="s">
        <v>1894</v>
      </c>
      <c r="S223" s="12"/>
      <c r="T223"/>
    </row>
    <row r="224" spans="1:20" ht="104.1" customHeight="1" x14ac:dyDescent="0.25">
      <c r="A224" s="12" t="s">
        <v>2388</v>
      </c>
      <c r="B224" s="12" t="s">
        <v>121</v>
      </c>
      <c r="C224" s="12" t="s">
        <v>122</v>
      </c>
      <c r="D224" s="12" t="s">
        <v>220</v>
      </c>
      <c r="E224" s="12" t="s">
        <v>1862</v>
      </c>
      <c r="F224" s="12" t="s">
        <v>212</v>
      </c>
      <c r="G224" s="12" t="s">
        <v>2389</v>
      </c>
      <c r="H224" s="12"/>
      <c r="I224" s="12"/>
      <c r="J224" s="12" t="s">
        <v>90</v>
      </c>
      <c r="K224" s="45">
        <v>44971</v>
      </c>
      <c r="L224" s="45">
        <v>44971</v>
      </c>
      <c r="M224" s="45">
        <v>44971</v>
      </c>
      <c r="N224" s="12" t="s">
        <v>59</v>
      </c>
      <c r="O224" s="12" t="s">
        <v>60</v>
      </c>
      <c r="P224" s="12"/>
      <c r="Q224" s="12"/>
      <c r="R224" s="12" t="s">
        <v>1986</v>
      </c>
      <c r="S224" s="12"/>
      <c r="T224"/>
    </row>
    <row r="225" spans="1:20" ht="65.099999999999994" customHeight="1" x14ac:dyDescent="0.25">
      <c r="A225" s="12" t="s">
        <v>2390</v>
      </c>
      <c r="B225" s="12" t="s">
        <v>121</v>
      </c>
      <c r="C225" s="12" t="s">
        <v>122</v>
      </c>
      <c r="D225" s="12" t="s">
        <v>252</v>
      </c>
      <c r="E225" s="12" t="s">
        <v>1862</v>
      </c>
      <c r="F225" s="12" t="s">
        <v>56</v>
      </c>
      <c r="G225" s="12" t="s">
        <v>2391</v>
      </c>
      <c r="H225" s="12"/>
      <c r="I225" s="12"/>
      <c r="J225" s="12" t="s">
        <v>1885</v>
      </c>
      <c r="K225" s="45"/>
      <c r="L225" s="45"/>
      <c r="M225" s="45">
        <v>45583</v>
      </c>
      <c r="N225" s="12" t="s">
        <v>59</v>
      </c>
      <c r="O225" s="12" t="s">
        <v>60</v>
      </c>
      <c r="P225" s="12"/>
      <c r="Q225" s="12"/>
      <c r="R225" s="12" t="s">
        <v>1953</v>
      </c>
      <c r="S225" s="12"/>
      <c r="T225"/>
    </row>
    <row r="226" spans="1:20" ht="104.1" customHeight="1" x14ac:dyDescent="0.25">
      <c r="A226" s="12" t="s">
        <v>2392</v>
      </c>
      <c r="B226" s="12" t="s">
        <v>121</v>
      </c>
      <c r="C226" s="12" t="s">
        <v>122</v>
      </c>
      <c r="D226" s="12" t="s">
        <v>252</v>
      </c>
      <c r="E226" s="12" t="s">
        <v>1862</v>
      </c>
      <c r="F226" s="12" t="s">
        <v>56</v>
      </c>
      <c r="G226" s="12" t="s">
        <v>2393</v>
      </c>
      <c r="H226" s="12"/>
      <c r="I226" s="12"/>
      <c r="J226" s="12" t="s">
        <v>1885</v>
      </c>
      <c r="K226" s="45"/>
      <c r="L226" s="45"/>
      <c r="M226" s="45">
        <v>45583</v>
      </c>
      <c r="N226" s="12" t="s">
        <v>59</v>
      </c>
      <c r="O226" s="12" t="s">
        <v>60</v>
      </c>
      <c r="P226" s="12"/>
      <c r="Q226" s="12"/>
      <c r="R226" s="12" t="s">
        <v>1932</v>
      </c>
      <c r="S226" s="12"/>
      <c r="T226"/>
    </row>
    <row r="227" spans="1:20" ht="51.95" customHeight="1" x14ac:dyDescent="0.25">
      <c r="A227" s="12" t="s">
        <v>2394</v>
      </c>
      <c r="B227" s="12" t="s">
        <v>121</v>
      </c>
      <c r="C227" s="12" t="s">
        <v>122</v>
      </c>
      <c r="D227" s="12" t="s">
        <v>224</v>
      </c>
      <c r="E227" s="12" t="s">
        <v>1862</v>
      </c>
      <c r="F227" s="12" t="s">
        <v>212</v>
      </c>
      <c r="G227" s="12" t="s">
        <v>2395</v>
      </c>
      <c r="H227" s="12"/>
      <c r="I227" s="12"/>
      <c r="J227" s="12"/>
      <c r="K227" s="45">
        <v>44693</v>
      </c>
      <c r="L227" s="45">
        <v>44693</v>
      </c>
      <c r="M227" s="45">
        <v>44693</v>
      </c>
      <c r="N227" s="12" t="s">
        <v>59</v>
      </c>
      <c r="O227" s="12" t="s">
        <v>60</v>
      </c>
      <c r="P227" s="12"/>
      <c r="Q227" s="12"/>
      <c r="R227" s="12" t="s">
        <v>1922</v>
      </c>
      <c r="S227" s="12"/>
      <c r="T227"/>
    </row>
    <row r="228" spans="1:20" ht="65.099999999999994" customHeight="1" x14ac:dyDescent="0.25">
      <c r="A228" s="12" t="s">
        <v>2396</v>
      </c>
      <c r="B228" s="12" t="s">
        <v>124</v>
      </c>
      <c r="C228" s="12" t="s">
        <v>690</v>
      </c>
      <c r="D228" s="12" t="s">
        <v>220</v>
      </c>
      <c r="E228" s="12" t="s">
        <v>1862</v>
      </c>
      <c r="F228" s="12" t="s">
        <v>56</v>
      </c>
      <c r="G228" s="12" t="s">
        <v>2397</v>
      </c>
      <c r="H228" s="12"/>
      <c r="I228" s="12"/>
      <c r="J228" s="12" t="s">
        <v>90</v>
      </c>
      <c r="K228" s="45">
        <v>44974</v>
      </c>
      <c r="L228" s="45">
        <v>44974</v>
      </c>
      <c r="M228" s="45">
        <v>44974</v>
      </c>
      <c r="N228" s="12" t="s">
        <v>59</v>
      </c>
      <c r="O228" s="12" t="s">
        <v>60</v>
      </c>
      <c r="P228" s="12"/>
      <c r="Q228" s="12"/>
      <c r="R228" s="12" t="s">
        <v>1986</v>
      </c>
      <c r="S228" s="12"/>
      <c r="T228"/>
    </row>
    <row r="229" spans="1:20" ht="78" customHeight="1" x14ac:dyDescent="0.25">
      <c r="A229" s="12" t="s">
        <v>2398</v>
      </c>
      <c r="B229" s="12" t="s">
        <v>124</v>
      </c>
      <c r="C229" s="12" t="s">
        <v>690</v>
      </c>
      <c r="D229" s="12" t="s">
        <v>232</v>
      </c>
      <c r="E229" s="12" t="s">
        <v>1862</v>
      </c>
      <c r="F229" s="12" t="s">
        <v>56</v>
      </c>
      <c r="G229" s="12" t="s">
        <v>2399</v>
      </c>
      <c r="H229" s="12"/>
      <c r="I229" s="12"/>
      <c r="J229" s="12" t="s">
        <v>1867</v>
      </c>
      <c r="K229" s="45">
        <v>44005</v>
      </c>
      <c r="L229" s="45">
        <v>44005</v>
      </c>
      <c r="M229" s="45">
        <v>44013</v>
      </c>
      <c r="N229" s="12" t="s">
        <v>59</v>
      </c>
      <c r="O229" s="12" t="s">
        <v>60</v>
      </c>
      <c r="P229" s="12"/>
      <c r="Q229" s="12"/>
      <c r="R229" s="12" t="s">
        <v>1877</v>
      </c>
      <c r="S229" s="12"/>
      <c r="T229"/>
    </row>
    <row r="230" spans="1:20" ht="90.95" customHeight="1" x14ac:dyDescent="0.25">
      <c r="A230" s="12" t="s">
        <v>2400</v>
      </c>
      <c r="B230" s="12" t="s">
        <v>124</v>
      </c>
      <c r="C230" s="12" t="s">
        <v>690</v>
      </c>
      <c r="D230" s="12" t="s">
        <v>252</v>
      </c>
      <c r="E230" s="12" t="s">
        <v>1862</v>
      </c>
      <c r="F230" s="12" t="s">
        <v>56</v>
      </c>
      <c r="G230" s="12" t="s">
        <v>2401</v>
      </c>
      <c r="H230" s="12"/>
      <c r="I230" s="12"/>
      <c r="J230" s="12" t="s">
        <v>1885</v>
      </c>
      <c r="K230" s="45">
        <v>45588</v>
      </c>
      <c r="L230" s="45">
        <v>45588</v>
      </c>
      <c r="M230" s="45">
        <v>45588</v>
      </c>
      <c r="N230" s="12" t="s">
        <v>59</v>
      </c>
      <c r="O230" s="12" t="s">
        <v>60</v>
      </c>
      <c r="P230" s="12"/>
      <c r="Q230" s="12"/>
      <c r="R230" s="12" t="s">
        <v>1942</v>
      </c>
      <c r="S230" s="12"/>
      <c r="T230"/>
    </row>
    <row r="231" spans="1:20" ht="65.099999999999994" customHeight="1" x14ac:dyDescent="0.25">
      <c r="A231" s="12" t="s">
        <v>2402</v>
      </c>
      <c r="B231" s="12" t="s">
        <v>124</v>
      </c>
      <c r="C231" s="12" t="s">
        <v>690</v>
      </c>
      <c r="D231" s="12" t="s">
        <v>224</v>
      </c>
      <c r="E231" s="12" t="s">
        <v>1862</v>
      </c>
      <c r="F231" s="12" t="s">
        <v>212</v>
      </c>
      <c r="G231" s="12" t="s">
        <v>2403</v>
      </c>
      <c r="H231" s="12"/>
      <c r="I231" s="12"/>
      <c r="J231" s="12"/>
      <c r="K231" s="45">
        <v>44691</v>
      </c>
      <c r="L231" s="45">
        <v>44691</v>
      </c>
      <c r="M231" s="45">
        <v>44692</v>
      </c>
      <c r="N231" s="12" t="s">
        <v>59</v>
      </c>
      <c r="O231" s="12" t="s">
        <v>60</v>
      </c>
      <c r="P231" s="12"/>
      <c r="Q231" s="12"/>
      <c r="R231" s="12" t="s">
        <v>1897</v>
      </c>
      <c r="S231" s="12"/>
      <c r="T231"/>
    </row>
    <row r="232" spans="1:20" ht="78" customHeight="1" x14ac:dyDescent="0.25">
      <c r="A232" s="12" t="s">
        <v>2404</v>
      </c>
      <c r="B232" s="12" t="s">
        <v>124</v>
      </c>
      <c r="C232" s="12" t="s">
        <v>690</v>
      </c>
      <c r="D232" s="12" t="s">
        <v>232</v>
      </c>
      <c r="E232" s="12" t="s">
        <v>1862</v>
      </c>
      <c r="F232" s="12" t="s">
        <v>56</v>
      </c>
      <c r="G232" s="12" t="s">
        <v>2405</v>
      </c>
      <c r="H232" s="12"/>
      <c r="I232" s="12"/>
      <c r="J232" s="12" t="s">
        <v>1867</v>
      </c>
      <c r="K232" s="45">
        <v>44005</v>
      </c>
      <c r="L232" s="45">
        <v>44005</v>
      </c>
      <c r="M232" s="45">
        <v>44013</v>
      </c>
      <c r="N232" s="12" t="s">
        <v>59</v>
      </c>
      <c r="O232" s="12" t="s">
        <v>60</v>
      </c>
      <c r="P232" s="12"/>
      <c r="Q232" s="12"/>
      <c r="R232" s="12" t="s">
        <v>1868</v>
      </c>
      <c r="S232" s="12"/>
      <c r="T232"/>
    </row>
    <row r="233" spans="1:20" ht="90.95" customHeight="1" x14ac:dyDescent="0.25">
      <c r="A233" s="12" t="s">
        <v>2406</v>
      </c>
      <c r="B233" s="12" t="s">
        <v>124</v>
      </c>
      <c r="C233" s="12" t="s">
        <v>690</v>
      </c>
      <c r="D233" s="12" t="s">
        <v>220</v>
      </c>
      <c r="E233" s="12" t="s">
        <v>1862</v>
      </c>
      <c r="F233" s="12" t="s">
        <v>56</v>
      </c>
      <c r="G233" s="12" t="s">
        <v>2407</v>
      </c>
      <c r="H233" s="12"/>
      <c r="I233" s="12"/>
      <c r="J233" s="12" t="s">
        <v>1880</v>
      </c>
      <c r="K233" s="45">
        <v>45231</v>
      </c>
      <c r="L233" s="45">
        <v>45231</v>
      </c>
      <c r="M233" s="45">
        <v>45231</v>
      </c>
      <c r="N233" s="12" t="s">
        <v>59</v>
      </c>
      <c r="O233" s="12" t="s">
        <v>60</v>
      </c>
      <c r="P233" s="12"/>
      <c r="Q233" s="12"/>
      <c r="R233" s="12" t="s">
        <v>1918</v>
      </c>
      <c r="S233" s="12"/>
      <c r="T233"/>
    </row>
    <row r="234" spans="1:20" ht="65.099999999999994" customHeight="1" x14ac:dyDescent="0.25">
      <c r="A234" s="12" t="s">
        <v>2408</v>
      </c>
      <c r="B234" s="12" t="s">
        <v>124</v>
      </c>
      <c r="C234" s="12" t="s">
        <v>690</v>
      </c>
      <c r="D234" s="12" t="s">
        <v>220</v>
      </c>
      <c r="E234" s="12" t="s">
        <v>1862</v>
      </c>
      <c r="F234" s="12" t="s">
        <v>56</v>
      </c>
      <c r="G234" s="12" t="s">
        <v>2409</v>
      </c>
      <c r="H234" s="12"/>
      <c r="I234" s="12"/>
      <c r="J234" s="12" t="s">
        <v>90</v>
      </c>
      <c r="K234" s="45">
        <v>44974</v>
      </c>
      <c r="L234" s="45">
        <v>44974</v>
      </c>
      <c r="M234" s="45">
        <v>44974</v>
      </c>
      <c r="N234" s="12" t="s">
        <v>59</v>
      </c>
      <c r="O234" s="12" t="s">
        <v>60</v>
      </c>
      <c r="P234" s="12"/>
      <c r="Q234" s="12"/>
      <c r="R234" s="12" t="s">
        <v>1910</v>
      </c>
      <c r="S234" s="12"/>
      <c r="T234"/>
    </row>
    <row r="235" spans="1:20" ht="65.099999999999994" customHeight="1" x14ac:dyDescent="0.25">
      <c r="A235" s="12" t="s">
        <v>2410</v>
      </c>
      <c r="B235" s="12" t="s">
        <v>124</v>
      </c>
      <c r="C235" s="12" t="s">
        <v>690</v>
      </c>
      <c r="D235" s="12" t="s">
        <v>252</v>
      </c>
      <c r="E235" s="12" t="s">
        <v>1862</v>
      </c>
      <c r="F235" s="12" t="s">
        <v>56</v>
      </c>
      <c r="G235" s="12" t="s">
        <v>2411</v>
      </c>
      <c r="H235" s="12"/>
      <c r="I235" s="12"/>
      <c r="J235" s="12" t="s">
        <v>915</v>
      </c>
      <c r="K235" s="45">
        <v>45429</v>
      </c>
      <c r="L235" s="45">
        <v>45429</v>
      </c>
      <c r="M235" s="45">
        <v>45433</v>
      </c>
      <c r="N235" s="12" t="s">
        <v>59</v>
      </c>
      <c r="O235" s="12" t="s">
        <v>60</v>
      </c>
      <c r="P235" s="12"/>
      <c r="Q235" s="12"/>
      <c r="R235" s="12" t="s">
        <v>1886</v>
      </c>
      <c r="S235" s="12"/>
      <c r="T235"/>
    </row>
    <row r="236" spans="1:20" ht="78" customHeight="1" x14ac:dyDescent="0.25">
      <c r="A236" s="12" t="s">
        <v>2412</v>
      </c>
      <c r="B236" s="12" t="s">
        <v>124</v>
      </c>
      <c r="C236" s="12" t="s">
        <v>690</v>
      </c>
      <c r="D236" s="12" t="s">
        <v>224</v>
      </c>
      <c r="E236" s="12" t="s">
        <v>1862</v>
      </c>
      <c r="F236" s="12" t="s">
        <v>212</v>
      </c>
      <c r="G236" s="12" t="s">
        <v>2413</v>
      </c>
      <c r="H236" s="12"/>
      <c r="I236" s="12"/>
      <c r="J236" s="12"/>
      <c r="K236" s="45">
        <v>44691</v>
      </c>
      <c r="L236" s="45">
        <v>44691</v>
      </c>
      <c r="M236" s="45">
        <v>44692</v>
      </c>
      <c r="N236" s="12" t="s">
        <v>59</v>
      </c>
      <c r="O236" s="12" t="s">
        <v>60</v>
      </c>
      <c r="P236" s="12"/>
      <c r="Q236" s="12"/>
      <c r="R236" s="12" t="s">
        <v>1900</v>
      </c>
      <c r="S236" s="12"/>
      <c r="T236"/>
    </row>
    <row r="237" spans="1:20" ht="104.1" customHeight="1" x14ac:dyDescent="0.25">
      <c r="A237" s="12" t="s">
        <v>2414</v>
      </c>
      <c r="B237" s="12" t="s">
        <v>124</v>
      </c>
      <c r="C237" s="12" t="s">
        <v>690</v>
      </c>
      <c r="D237" s="12" t="s">
        <v>220</v>
      </c>
      <c r="E237" s="12" t="s">
        <v>1862</v>
      </c>
      <c r="F237" s="12" t="s">
        <v>212</v>
      </c>
      <c r="G237" s="12" t="s">
        <v>2415</v>
      </c>
      <c r="H237" s="12"/>
      <c r="I237" s="12"/>
      <c r="J237" s="12"/>
      <c r="K237" s="45">
        <v>45265</v>
      </c>
      <c r="L237" s="45">
        <v>45265</v>
      </c>
      <c r="M237" s="45">
        <v>45265</v>
      </c>
      <c r="N237" s="12" t="s">
        <v>59</v>
      </c>
      <c r="O237" s="12" t="s">
        <v>60</v>
      </c>
      <c r="P237" s="12"/>
      <c r="Q237" s="12"/>
      <c r="R237" s="12" t="s">
        <v>1963</v>
      </c>
      <c r="S237" s="12"/>
      <c r="T237"/>
    </row>
    <row r="238" spans="1:20" ht="104.1" customHeight="1" x14ac:dyDescent="0.25">
      <c r="A238" s="12" t="s">
        <v>2416</v>
      </c>
      <c r="B238" s="12" t="s">
        <v>124</v>
      </c>
      <c r="C238" s="12" t="s">
        <v>690</v>
      </c>
      <c r="D238" s="12" t="s">
        <v>252</v>
      </c>
      <c r="E238" s="12" t="s">
        <v>1862</v>
      </c>
      <c r="F238" s="12" t="s">
        <v>56</v>
      </c>
      <c r="G238" s="12" t="s">
        <v>2417</v>
      </c>
      <c r="H238" s="12"/>
      <c r="I238" s="12"/>
      <c r="J238" s="12" t="s">
        <v>915</v>
      </c>
      <c r="K238" s="45">
        <v>45429</v>
      </c>
      <c r="L238" s="45">
        <v>45429</v>
      </c>
      <c r="M238" s="45">
        <v>45431</v>
      </c>
      <c r="N238" s="12" t="s">
        <v>59</v>
      </c>
      <c r="O238" s="12" t="s">
        <v>60</v>
      </c>
      <c r="P238" s="12"/>
      <c r="Q238" s="12"/>
      <c r="R238" s="12" t="s">
        <v>1932</v>
      </c>
      <c r="S238" s="12"/>
      <c r="T238"/>
    </row>
    <row r="239" spans="1:20" ht="182.1" customHeight="1" x14ac:dyDescent="0.25">
      <c r="A239" s="12" t="s">
        <v>2418</v>
      </c>
      <c r="B239" s="12" t="s">
        <v>124</v>
      </c>
      <c r="C239" s="12" t="s">
        <v>690</v>
      </c>
      <c r="D239" s="12" t="s">
        <v>232</v>
      </c>
      <c r="E239" s="12" t="s">
        <v>1862</v>
      </c>
      <c r="F239" s="12" t="s">
        <v>56</v>
      </c>
      <c r="G239" s="12" t="s">
        <v>2419</v>
      </c>
      <c r="H239" s="12"/>
      <c r="I239" s="12"/>
      <c r="J239" s="12" t="s">
        <v>1867</v>
      </c>
      <c r="K239" s="45">
        <v>44005</v>
      </c>
      <c r="L239" s="45">
        <v>44005</v>
      </c>
      <c r="M239" s="45">
        <v>44013</v>
      </c>
      <c r="N239" s="12" t="s">
        <v>59</v>
      </c>
      <c r="O239" s="12" t="s">
        <v>60</v>
      </c>
      <c r="P239" s="12"/>
      <c r="Q239" s="12"/>
      <c r="R239" s="12" t="s">
        <v>1874</v>
      </c>
      <c r="S239" s="12"/>
      <c r="T239"/>
    </row>
    <row r="240" spans="1:20" ht="156" customHeight="1" x14ac:dyDescent="0.25">
      <c r="A240" s="12" t="s">
        <v>2420</v>
      </c>
      <c r="B240" s="12" t="s">
        <v>124</v>
      </c>
      <c r="C240" s="12" t="s">
        <v>690</v>
      </c>
      <c r="D240" s="12" t="s">
        <v>228</v>
      </c>
      <c r="E240" s="12" t="s">
        <v>1862</v>
      </c>
      <c r="F240" s="12" t="s">
        <v>212</v>
      </c>
      <c r="G240" s="12" t="s">
        <v>2421</v>
      </c>
      <c r="H240" s="12"/>
      <c r="I240" s="12"/>
      <c r="J240" s="12"/>
      <c r="K240" s="45"/>
      <c r="L240" s="45">
        <v>44424</v>
      </c>
      <c r="M240" s="45">
        <v>44424</v>
      </c>
      <c r="N240" s="12" t="s">
        <v>59</v>
      </c>
      <c r="O240" s="12" t="s">
        <v>60</v>
      </c>
      <c r="P240" s="12"/>
      <c r="Q240" s="12"/>
      <c r="R240" s="12" t="s">
        <v>1922</v>
      </c>
      <c r="S240" s="12"/>
      <c r="T240"/>
    </row>
    <row r="241" spans="1:20" ht="156" customHeight="1" x14ac:dyDescent="0.25">
      <c r="A241" s="12" t="s">
        <v>2422</v>
      </c>
      <c r="B241" s="12" t="s">
        <v>124</v>
      </c>
      <c r="C241" s="12" t="s">
        <v>690</v>
      </c>
      <c r="D241" s="12" t="s">
        <v>252</v>
      </c>
      <c r="E241" s="12" t="s">
        <v>1862</v>
      </c>
      <c r="F241" s="12" t="s">
        <v>56</v>
      </c>
      <c r="G241" s="12" t="s">
        <v>2423</v>
      </c>
      <c r="H241" s="12"/>
      <c r="I241" s="12"/>
      <c r="J241" s="12" t="s">
        <v>2272</v>
      </c>
      <c r="K241" s="45">
        <v>45588</v>
      </c>
      <c r="L241" s="45">
        <v>45588</v>
      </c>
      <c r="M241" s="45">
        <v>45588</v>
      </c>
      <c r="N241" s="12" t="s">
        <v>59</v>
      </c>
      <c r="O241" s="12" t="s">
        <v>60</v>
      </c>
      <c r="P241" s="12"/>
      <c r="Q241" s="12"/>
      <c r="R241" s="12" t="s">
        <v>1942</v>
      </c>
      <c r="S241" s="12"/>
      <c r="T241"/>
    </row>
    <row r="242" spans="1:20" ht="104.1" customHeight="1" x14ac:dyDescent="0.25">
      <c r="A242" s="12" t="s">
        <v>2424</v>
      </c>
      <c r="B242" s="12" t="s">
        <v>124</v>
      </c>
      <c r="C242" s="12" t="s">
        <v>690</v>
      </c>
      <c r="D242" s="12" t="s">
        <v>228</v>
      </c>
      <c r="E242" s="12" t="s">
        <v>1862</v>
      </c>
      <c r="F242" s="12" t="s">
        <v>212</v>
      </c>
      <c r="G242" s="12" t="s">
        <v>2425</v>
      </c>
      <c r="H242" s="12"/>
      <c r="I242" s="12"/>
      <c r="J242" s="12"/>
      <c r="K242" s="45"/>
      <c r="L242" s="45">
        <v>44424</v>
      </c>
      <c r="M242" s="45">
        <v>44424</v>
      </c>
      <c r="N242" s="12" t="s">
        <v>59</v>
      </c>
      <c r="O242" s="12" t="s">
        <v>60</v>
      </c>
      <c r="P242" s="12"/>
      <c r="Q242" s="12"/>
      <c r="R242" s="12" t="s">
        <v>1904</v>
      </c>
      <c r="S242" s="12"/>
      <c r="T242"/>
    </row>
    <row r="243" spans="1:20" ht="129.94999999999999" customHeight="1" x14ac:dyDescent="0.25">
      <c r="A243" s="12" t="s">
        <v>2426</v>
      </c>
      <c r="B243" s="12" t="s">
        <v>124</v>
      </c>
      <c r="C243" s="12" t="s">
        <v>690</v>
      </c>
      <c r="D243" s="12" t="s">
        <v>232</v>
      </c>
      <c r="E243" s="12" t="s">
        <v>1862</v>
      </c>
      <c r="F243" s="12" t="s">
        <v>56</v>
      </c>
      <c r="G243" s="12" t="s">
        <v>2427</v>
      </c>
      <c r="H243" s="12"/>
      <c r="I243" s="12"/>
      <c r="J243" s="12" t="s">
        <v>1885</v>
      </c>
      <c r="K243" s="45">
        <v>44005</v>
      </c>
      <c r="L243" s="45">
        <v>44005</v>
      </c>
      <c r="M243" s="45">
        <v>44013</v>
      </c>
      <c r="N243" s="12" t="s">
        <v>91</v>
      </c>
      <c r="O243" s="12" t="s">
        <v>60</v>
      </c>
      <c r="P243" s="12"/>
      <c r="Q243" s="12"/>
      <c r="R243" s="12" t="s">
        <v>1929</v>
      </c>
      <c r="S243" s="12"/>
      <c r="T243"/>
    </row>
    <row r="244" spans="1:20" ht="129.94999999999999" customHeight="1" x14ac:dyDescent="0.25">
      <c r="A244" s="12" t="s">
        <v>2428</v>
      </c>
      <c r="B244" s="12" t="s">
        <v>124</v>
      </c>
      <c r="C244" s="12" t="s">
        <v>690</v>
      </c>
      <c r="D244" s="12" t="s">
        <v>228</v>
      </c>
      <c r="E244" s="12" t="s">
        <v>1862</v>
      </c>
      <c r="F244" s="12" t="s">
        <v>212</v>
      </c>
      <c r="G244" s="12" t="s">
        <v>2429</v>
      </c>
      <c r="H244" s="12"/>
      <c r="I244" s="12"/>
      <c r="J244" s="12"/>
      <c r="K244" s="45"/>
      <c r="L244" s="45">
        <v>44424</v>
      </c>
      <c r="M244" s="45">
        <v>44424</v>
      </c>
      <c r="N244" s="12" t="s">
        <v>59</v>
      </c>
      <c r="O244" s="12" t="s">
        <v>60</v>
      </c>
      <c r="P244" s="12"/>
      <c r="Q244" s="12"/>
      <c r="R244" s="12" t="s">
        <v>1894</v>
      </c>
      <c r="S244" s="12"/>
      <c r="T244"/>
    </row>
    <row r="245" spans="1:20" ht="90.95" customHeight="1" x14ac:dyDescent="0.25">
      <c r="A245" s="12" t="s">
        <v>2430</v>
      </c>
      <c r="B245" s="12" t="s">
        <v>124</v>
      </c>
      <c r="C245" s="12" t="s">
        <v>690</v>
      </c>
      <c r="D245" s="12" t="s">
        <v>232</v>
      </c>
      <c r="E245" s="12" t="s">
        <v>1862</v>
      </c>
      <c r="F245" s="12" t="s">
        <v>56</v>
      </c>
      <c r="G245" s="12" t="s">
        <v>2431</v>
      </c>
      <c r="H245" s="12"/>
      <c r="I245" s="12"/>
      <c r="J245" s="12" t="s">
        <v>1867</v>
      </c>
      <c r="K245" s="45">
        <v>44005</v>
      </c>
      <c r="L245" s="45">
        <v>44005</v>
      </c>
      <c r="M245" s="45">
        <v>44013</v>
      </c>
      <c r="N245" s="12" t="s">
        <v>91</v>
      </c>
      <c r="O245" s="12" t="s">
        <v>60</v>
      </c>
      <c r="P245" s="12"/>
      <c r="Q245" s="12"/>
      <c r="R245" s="12" t="s">
        <v>1871</v>
      </c>
      <c r="S245" s="12"/>
      <c r="T245"/>
    </row>
    <row r="246" spans="1:20" ht="117" customHeight="1" x14ac:dyDescent="0.25">
      <c r="A246" s="12" t="s">
        <v>2432</v>
      </c>
      <c r="B246" s="12" t="s">
        <v>124</v>
      </c>
      <c r="C246" s="12" t="s">
        <v>690</v>
      </c>
      <c r="D246" s="12" t="s">
        <v>228</v>
      </c>
      <c r="E246" s="12" t="s">
        <v>1862</v>
      </c>
      <c r="F246" s="12" t="s">
        <v>212</v>
      </c>
      <c r="G246" s="12" t="s">
        <v>2433</v>
      </c>
      <c r="H246" s="12"/>
      <c r="I246" s="12"/>
      <c r="J246" s="12"/>
      <c r="K246" s="45"/>
      <c r="L246" s="45">
        <v>44424</v>
      </c>
      <c r="M246" s="45">
        <v>44424</v>
      </c>
      <c r="N246" s="12" t="s">
        <v>59</v>
      </c>
      <c r="O246" s="12" t="s">
        <v>60</v>
      </c>
      <c r="P246" s="12"/>
      <c r="Q246" s="12"/>
      <c r="R246" s="12" t="s">
        <v>1938</v>
      </c>
      <c r="S246" s="12"/>
      <c r="T246"/>
    </row>
    <row r="247" spans="1:20" ht="39" customHeight="1" x14ac:dyDescent="0.25">
      <c r="A247" s="12" t="s">
        <v>2434</v>
      </c>
      <c r="B247" s="12" t="s">
        <v>129</v>
      </c>
      <c r="C247" s="12" t="s">
        <v>130</v>
      </c>
      <c r="D247" s="12" t="s">
        <v>224</v>
      </c>
      <c r="E247" s="12" t="s">
        <v>1862</v>
      </c>
      <c r="F247" s="12" t="s">
        <v>1167</v>
      </c>
      <c r="G247" s="12" t="s">
        <v>2435</v>
      </c>
      <c r="H247" s="12"/>
      <c r="I247" s="12"/>
      <c r="J247" s="12"/>
      <c r="K247" s="45">
        <v>44697</v>
      </c>
      <c r="L247" s="45">
        <v>44697</v>
      </c>
      <c r="M247" s="45">
        <v>44704</v>
      </c>
      <c r="N247" s="12" t="s">
        <v>59</v>
      </c>
      <c r="O247" s="12" t="s">
        <v>60</v>
      </c>
      <c r="P247" s="12"/>
      <c r="Q247" s="12"/>
      <c r="R247" s="12" t="s">
        <v>1900</v>
      </c>
      <c r="S247" s="12"/>
      <c r="T247"/>
    </row>
    <row r="248" spans="1:20" ht="39" customHeight="1" x14ac:dyDescent="0.25">
      <c r="A248" s="12" t="s">
        <v>2436</v>
      </c>
      <c r="B248" s="12" t="s">
        <v>129</v>
      </c>
      <c r="C248" s="12" t="s">
        <v>130</v>
      </c>
      <c r="D248" s="12" t="s">
        <v>220</v>
      </c>
      <c r="E248" s="12" t="s">
        <v>1862</v>
      </c>
      <c r="F248" s="12" t="s">
        <v>212</v>
      </c>
      <c r="G248" s="12" t="s">
        <v>2437</v>
      </c>
      <c r="H248" s="12"/>
      <c r="I248" s="12"/>
      <c r="J248" s="12" t="s">
        <v>1381</v>
      </c>
      <c r="K248" s="45">
        <v>44888</v>
      </c>
      <c r="L248" s="45">
        <v>44888</v>
      </c>
      <c r="M248" s="45">
        <v>44936</v>
      </c>
      <c r="N248" s="12" t="s">
        <v>59</v>
      </c>
      <c r="O248" s="12" t="s">
        <v>60</v>
      </c>
      <c r="P248" s="12"/>
      <c r="Q248" s="12"/>
      <c r="R248" s="12" t="s">
        <v>1910</v>
      </c>
      <c r="S248" s="12"/>
      <c r="T248"/>
    </row>
    <row r="249" spans="1:20" ht="104.1" customHeight="1" x14ac:dyDescent="0.25">
      <c r="A249" s="12" t="s">
        <v>2438</v>
      </c>
      <c r="B249" s="12" t="s">
        <v>129</v>
      </c>
      <c r="C249" s="12" t="s">
        <v>130</v>
      </c>
      <c r="D249" s="12" t="s">
        <v>228</v>
      </c>
      <c r="E249" s="12" t="s">
        <v>1862</v>
      </c>
      <c r="F249" s="12" t="s">
        <v>212</v>
      </c>
      <c r="G249" s="12" t="s">
        <v>2439</v>
      </c>
      <c r="H249" s="12"/>
      <c r="I249" s="12"/>
      <c r="J249" s="12"/>
      <c r="K249" s="45">
        <v>44454</v>
      </c>
      <c r="L249" s="45">
        <v>44454</v>
      </c>
      <c r="M249" s="45">
        <v>44455</v>
      </c>
      <c r="N249" s="12" t="s">
        <v>59</v>
      </c>
      <c r="O249" s="12" t="s">
        <v>60</v>
      </c>
      <c r="P249" s="12"/>
      <c r="Q249" s="12"/>
      <c r="R249" s="12" t="s">
        <v>1922</v>
      </c>
      <c r="S249" s="12"/>
      <c r="T249"/>
    </row>
    <row r="250" spans="1:20" ht="78" customHeight="1" x14ac:dyDescent="0.25">
      <c r="A250" s="12" t="s">
        <v>2440</v>
      </c>
      <c r="B250" s="12" t="s">
        <v>129</v>
      </c>
      <c r="C250" s="12" t="s">
        <v>130</v>
      </c>
      <c r="D250" s="12" t="s">
        <v>228</v>
      </c>
      <c r="E250" s="12" t="s">
        <v>1862</v>
      </c>
      <c r="F250" s="12" t="s">
        <v>212</v>
      </c>
      <c r="G250" s="12" t="s">
        <v>2441</v>
      </c>
      <c r="H250" s="12"/>
      <c r="I250" s="12"/>
      <c r="J250" s="12"/>
      <c r="K250" s="45">
        <v>44454</v>
      </c>
      <c r="L250" s="45">
        <v>44454</v>
      </c>
      <c r="M250" s="45">
        <v>44455</v>
      </c>
      <c r="N250" s="12" t="s">
        <v>91</v>
      </c>
      <c r="O250" s="12" t="s">
        <v>60</v>
      </c>
      <c r="P250" s="12"/>
      <c r="Q250" s="12"/>
      <c r="R250" s="12" t="s">
        <v>1938</v>
      </c>
      <c r="S250" s="12"/>
      <c r="T250"/>
    </row>
    <row r="251" spans="1:20" ht="104.1" customHeight="1" x14ac:dyDescent="0.25">
      <c r="A251" s="12" t="s">
        <v>2442</v>
      </c>
      <c r="B251" s="12" t="s">
        <v>129</v>
      </c>
      <c r="C251" s="12" t="s">
        <v>130</v>
      </c>
      <c r="D251" s="12" t="s">
        <v>224</v>
      </c>
      <c r="E251" s="12" t="s">
        <v>1862</v>
      </c>
      <c r="F251" s="12" t="s">
        <v>212</v>
      </c>
      <c r="G251" s="12" t="s">
        <v>2443</v>
      </c>
      <c r="H251" s="12"/>
      <c r="I251" s="12"/>
      <c r="J251" s="12"/>
      <c r="K251" s="45">
        <v>44728</v>
      </c>
      <c r="L251" s="45">
        <v>44697</v>
      </c>
      <c r="M251" s="45">
        <v>44712</v>
      </c>
      <c r="N251" s="12" t="s">
        <v>59</v>
      </c>
      <c r="O251" s="12" t="s">
        <v>60</v>
      </c>
      <c r="P251" s="12"/>
      <c r="Q251" s="12"/>
      <c r="R251" s="12" t="s">
        <v>1897</v>
      </c>
      <c r="S251" s="12"/>
      <c r="T251"/>
    </row>
    <row r="252" spans="1:20" ht="78" customHeight="1" x14ac:dyDescent="0.25">
      <c r="A252" s="12" t="s">
        <v>2444</v>
      </c>
      <c r="B252" s="12" t="s">
        <v>129</v>
      </c>
      <c r="C252" s="12" t="s">
        <v>130</v>
      </c>
      <c r="D252" s="12" t="s">
        <v>228</v>
      </c>
      <c r="E252" s="12" t="s">
        <v>1862</v>
      </c>
      <c r="F252" s="12" t="s">
        <v>212</v>
      </c>
      <c r="G252" s="12" t="s">
        <v>2445</v>
      </c>
      <c r="H252" s="12"/>
      <c r="I252" s="12"/>
      <c r="J252" s="12"/>
      <c r="K252" s="45">
        <v>44454</v>
      </c>
      <c r="L252" s="45">
        <v>44454</v>
      </c>
      <c r="M252" s="45">
        <v>44455</v>
      </c>
      <c r="N252" s="12" t="s">
        <v>59</v>
      </c>
      <c r="O252" s="12" t="s">
        <v>60</v>
      </c>
      <c r="P252" s="12"/>
      <c r="Q252" s="12"/>
      <c r="R252" s="12" t="s">
        <v>1894</v>
      </c>
      <c r="S252" s="12"/>
      <c r="T252"/>
    </row>
    <row r="253" spans="1:20" ht="168.95" customHeight="1" x14ac:dyDescent="0.25">
      <c r="A253" s="12" t="s">
        <v>2446</v>
      </c>
      <c r="B253" s="12" t="s">
        <v>129</v>
      </c>
      <c r="C253" s="12" t="s">
        <v>130</v>
      </c>
      <c r="D253" s="12" t="s">
        <v>55</v>
      </c>
      <c r="E253" s="12" t="s">
        <v>1862</v>
      </c>
      <c r="F253" s="12" t="s">
        <v>56</v>
      </c>
      <c r="G253" s="12" t="s">
        <v>1870</v>
      </c>
      <c r="H253" s="12"/>
      <c r="I253" s="12"/>
      <c r="J253" s="12"/>
      <c r="K253" s="45">
        <v>43171</v>
      </c>
      <c r="L253" s="45">
        <v>43171</v>
      </c>
      <c r="M253" s="45">
        <v>43185</v>
      </c>
      <c r="N253" s="12" t="s">
        <v>91</v>
      </c>
      <c r="O253" s="12" t="s">
        <v>60</v>
      </c>
      <c r="P253" s="12"/>
      <c r="Q253" s="12"/>
      <c r="R253" s="12" t="s">
        <v>1871</v>
      </c>
      <c r="S253" s="12"/>
      <c r="T253"/>
    </row>
    <row r="254" spans="1:20" ht="78" customHeight="1" x14ac:dyDescent="0.25">
      <c r="A254" s="12" t="s">
        <v>2447</v>
      </c>
      <c r="B254" s="12" t="s">
        <v>129</v>
      </c>
      <c r="C254" s="12" t="s">
        <v>130</v>
      </c>
      <c r="D254" s="12" t="s">
        <v>220</v>
      </c>
      <c r="E254" s="12" t="s">
        <v>1883</v>
      </c>
      <c r="F254" s="12" t="s">
        <v>212</v>
      </c>
      <c r="G254" s="12" t="s">
        <v>2448</v>
      </c>
      <c r="H254" s="12" t="s">
        <v>2449</v>
      </c>
      <c r="I254" s="12"/>
      <c r="J254" s="12" t="s">
        <v>1381</v>
      </c>
      <c r="K254" s="45">
        <v>45292</v>
      </c>
      <c r="L254" s="45">
        <v>45132</v>
      </c>
      <c r="M254" s="45">
        <v>45147</v>
      </c>
      <c r="N254" s="12" t="s">
        <v>59</v>
      </c>
      <c r="O254" s="12" t="s">
        <v>60</v>
      </c>
      <c r="P254" s="12"/>
      <c r="Q254" s="12"/>
      <c r="R254" s="12" t="s">
        <v>1978</v>
      </c>
      <c r="S254" s="12" t="s">
        <v>2450</v>
      </c>
      <c r="T254"/>
    </row>
    <row r="255" spans="1:20" ht="168.95" customHeight="1" x14ac:dyDescent="0.25">
      <c r="A255" s="12" t="s">
        <v>2451</v>
      </c>
      <c r="B255" s="12" t="s">
        <v>129</v>
      </c>
      <c r="C255" s="12" t="s">
        <v>130</v>
      </c>
      <c r="D255" s="12" t="s">
        <v>228</v>
      </c>
      <c r="E255" s="12" t="s">
        <v>1862</v>
      </c>
      <c r="F255" s="12" t="s">
        <v>212</v>
      </c>
      <c r="G255" s="12" t="s">
        <v>2452</v>
      </c>
      <c r="H255" s="12"/>
      <c r="I255" s="12"/>
      <c r="J255" s="12"/>
      <c r="K255" s="45">
        <v>44454</v>
      </c>
      <c r="L255" s="45">
        <v>44454</v>
      </c>
      <c r="M255" s="45">
        <v>44455</v>
      </c>
      <c r="N255" s="12" t="s">
        <v>59</v>
      </c>
      <c r="O255" s="12" t="s">
        <v>60</v>
      </c>
      <c r="P255" s="12"/>
      <c r="Q255" s="12"/>
      <c r="R255" s="12" t="s">
        <v>1904</v>
      </c>
      <c r="S255" s="12"/>
      <c r="T255"/>
    </row>
    <row r="256" spans="1:20" ht="104.1" customHeight="1" x14ac:dyDescent="0.25">
      <c r="A256" s="12" t="s">
        <v>2453</v>
      </c>
      <c r="B256" s="12" t="s">
        <v>129</v>
      </c>
      <c r="C256" s="12" t="s">
        <v>130</v>
      </c>
      <c r="D256" s="12" t="s">
        <v>220</v>
      </c>
      <c r="E256" s="12" t="s">
        <v>1862</v>
      </c>
      <c r="F256" s="12" t="s">
        <v>1307</v>
      </c>
      <c r="G256" s="12" t="s">
        <v>2454</v>
      </c>
      <c r="H256" s="12"/>
      <c r="I256" s="12"/>
      <c r="J256" s="12"/>
      <c r="K256" s="45">
        <v>45232</v>
      </c>
      <c r="L256" s="45">
        <v>45232</v>
      </c>
      <c r="M256" s="45">
        <v>45259</v>
      </c>
      <c r="N256" s="12" t="s">
        <v>59</v>
      </c>
      <c r="O256" s="12" t="s">
        <v>60</v>
      </c>
      <c r="P256" s="12"/>
      <c r="Q256" s="12"/>
      <c r="R256" s="12" t="s">
        <v>1963</v>
      </c>
      <c r="S256" s="12"/>
      <c r="T256"/>
    </row>
    <row r="257" spans="1:20" ht="104.1" customHeight="1" x14ac:dyDescent="0.25">
      <c r="A257" s="12" t="s">
        <v>2455</v>
      </c>
      <c r="B257" s="12" t="s">
        <v>129</v>
      </c>
      <c r="C257" s="12" t="s">
        <v>130</v>
      </c>
      <c r="D257" s="12" t="s">
        <v>228</v>
      </c>
      <c r="E257" s="12" t="s">
        <v>1883</v>
      </c>
      <c r="F257" s="12" t="s">
        <v>212</v>
      </c>
      <c r="G257" s="12" t="s">
        <v>2456</v>
      </c>
      <c r="H257" s="12"/>
      <c r="I257" s="12"/>
      <c r="J257" s="12"/>
      <c r="K257" s="45">
        <v>44593</v>
      </c>
      <c r="L257" s="45">
        <v>44525</v>
      </c>
      <c r="M257" s="45">
        <v>44546</v>
      </c>
      <c r="N257" s="12" t="s">
        <v>91</v>
      </c>
      <c r="O257" s="12" t="s">
        <v>60</v>
      </c>
      <c r="P257" s="12"/>
      <c r="Q257" s="12"/>
      <c r="R257" s="12" t="s">
        <v>1868</v>
      </c>
      <c r="S257" s="12"/>
      <c r="T257"/>
    </row>
    <row r="258" spans="1:20" ht="65.099999999999994" customHeight="1" x14ac:dyDescent="0.25">
      <c r="A258" s="12" t="s">
        <v>2457</v>
      </c>
      <c r="B258" s="12" t="s">
        <v>129</v>
      </c>
      <c r="C258" s="12" t="s">
        <v>130</v>
      </c>
      <c r="D258" s="12" t="s">
        <v>220</v>
      </c>
      <c r="E258" s="12" t="s">
        <v>1862</v>
      </c>
      <c r="F258" s="12" t="s">
        <v>1307</v>
      </c>
      <c r="G258" s="12" t="s">
        <v>2458</v>
      </c>
      <c r="H258" s="12"/>
      <c r="I258" s="12"/>
      <c r="J258" s="12" t="s">
        <v>2021</v>
      </c>
      <c r="K258" s="45">
        <v>45232</v>
      </c>
      <c r="L258" s="45">
        <v>45232</v>
      </c>
      <c r="M258" s="45">
        <v>45237</v>
      </c>
      <c r="N258" s="12" t="s">
        <v>59</v>
      </c>
      <c r="O258" s="12" t="s">
        <v>60</v>
      </c>
      <c r="P258" s="12"/>
      <c r="Q258" s="12"/>
      <c r="R258" s="12" t="s">
        <v>1918</v>
      </c>
      <c r="S258" s="12"/>
      <c r="T258"/>
    </row>
    <row r="259" spans="1:20" ht="78" customHeight="1" x14ac:dyDescent="0.25">
      <c r="A259" s="12" t="s">
        <v>2459</v>
      </c>
      <c r="B259" s="12" t="s">
        <v>129</v>
      </c>
      <c r="C259" s="12" t="s">
        <v>130</v>
      </c>
      <c r="D259" s="12" t="s">
        <v>224</v>
      </c>
      <c r="E259" s="12" t="s">
        <v>1862</v>
      </c>
      <c r="F259" s="12" t="s">
        <v>1307</v>
      </c>
      <c r="G259" s="12" t="s">
        <v>2460</v>
      </c>
      <c r="H259" s="12"/>
      <c r="I259" s="12"/>
      <c r="J259" s="12"/>
      <c r="K259" s="45">
        <v>44697</v>
      </c>
      <c r="L259" s="45">
        <v>44697</v>
      </c>
      <c r="M259" s="45">
        <v>44704</v>
      </c>
      <c r="N259" s="12" t="s">
        <v>59</v>
      </c>
      <c r="O259" s="12" t="s">
        <v>60</v>
      </c>
      <c r="P259" s="12"/>
      <c r="Q259" s="12"/>
      <c r="R259" s="12"/>
      <c r="S259" s="12"/>
      <c r="T259"/>
    </row>
    <row r="260" spans="1:20" ht="90.95" customHeight="1" x14ac:dyDescent="0.25">
      <c r="A260" s="12" t="s">
        <v>2461</v>
      </c>
      <c r="B260" s="12" t="s">
        <v>129</v>
      </c>
      <c r="C260" s="12" t="s">
        <v>130</v>
      </c>
      <c r="D260" s="12" t="s">
        <v>236</v>
      </c>
      <c r="E260" s="12" t="s">
        <v>1883</v>
      </c>
      <c r="F260" s="12" t="s">
        <v>56</v>
      </c>
      <c r="G260" s="12" t="s">
        <v>1924</v>
      </c>
      <c r="H260" s="12" t="s">
        <v>2462</v>
      </c>
      <c r="I260" s="12"/>
      <c r="J260" s="12" t="s">
        <v>1880</v>
      </c>
      <c r="K260" s="45">
        <v>43678</v>
      </c>
      <c r="L260" s="45">
        <v>43661</v>
      </c>
      <c r="M260" s="45">
        <v>43676</v>
      </c>
      <c r="N260" s="12" t="s">
        <v>91</v>
      </c>
      <c r="O260" s="12" t="s">
        <v>60</v>
      </c>
      <c r="P260" s="12"/>
      <c r="Q260" s="12"/>
      <c r="R260" s="12" t="s">
        <v>1868</v>
      </c>
      <c r="S260" s="12" t="s">
        <v>2463</v>
      </c>
      <c r="T260"/>
    </row>
    <row r="261" spans="1:20" ht="39" customHeight="1" x14ac:dyDescent="0.25">
      <c r="A261" s="12" t="s">
        <v>2464</v>
      </c>
      <c r="B261" s="12" t="s">
        <v>129</v>
      </c>
      <c r="C261" s="12" t="s">
        <v>130</v>
      </c>
      <c r="D261" s="12" t="s">
        <v>126</v>
      </c>
      <c r="E261" s="12" t="s">
        <v>1862</v>
      </c>
      <c r="F261" s="12" t="s">
        <v>56</v>
      </c>
      <c r="G261" s="12" t="s">
        <v>2304</v>
      </c>
      <c r="H261" s="12"/>
      <c r="I261" s="12"/>
      <c r="J261" s="12"/>
      <c r="K261" s="45">
        <v>42684</v>
      </c>
      <c r="L261" s="45"/>
      <c r="M261" s="45">
        <v>42684</v>
      </c>
      <c r="N261" s="12" t="s">
        <v>91</v>
      </c>
      <c r="O261" s="12" t="s">
        <v>60</v>
      </c>
      <c r="P261" s="12"/>
      <c r="Q261" s="12"/>
      <c r="R261" s="12" t="s">
        <v>1864</v>
      </c>
      <c r="S261" s="12"/>
      <c r="T261"/>
    </row>
    <row r="262" spans="1:20" ht="26.1" customHeight="1" x14ac:dyDescent="0.25">
      <c r="A262" s="12" t="s">
        <v>2465</v>
      </c>
      <c r="B262" s="12" t="s">
        <v>129</v>
      </c>
      <c r="C262" s="12" t="s">
        <v>130</v>
      </c>
      <c r="D262" s="12" t="s">
        <v>252</v>
      </c>
      <c r="E262" s="12" t="s">
        <v>1862</v>
      </c>
      <c r="F262" s="12" t="s">
        <v>212</v>
      </c>
      <c r="G262" s="12" t="s">
        <v>2466</v>
      </c>
      <c r="H262" s="12"/>
      <c r="I262" s="12"/>
      <c r="J262" s="12" t="s">
        <v>1885</v>
      </c>
      <c r="K262" s="45">
        <v>45532</v>
      </c>
      <c r="L262" s="45">
        <v>45532</v>
      </c>
      <c r="M262" s="45">
        <v>45544</v>
      </c>
      <c r="N262" s="12" t="s">
        <v>59</v>
      </c>
      <c r="O262" s="12" t="s">
        <v>60</v>
      </c>
      <c r="P262" s="12"/>
      <c r="Q262" s="12"/>
      <c r="R262" s="12" t="s">
        <v>1942</v>
      </c>
      <c r="S262" s="12"/>
      <c r="T262"/>
    </row>
    <row r="263" spans="1:20" ht="78" customHeight="1" x14ac:dyDescent="0.25">
      <c r="A263" s="12" t="s">
        <v>2467</v>
      </c>
      <c r="B263" s="12" t="s">
        <v>129</v>
      </c>
      <c r="C263" s="12" t="s">
        <v>130</v>
      </c>
      <c r="D263" s="12" t="s">
        <v>252</v>
      </c>
      <c r="E263" s="12" t="s">
        <v>1862</v>
      </c>
      <c r="F263" s="12" t="s">
        <v>56</v>
      </c>
      <c r="G263" s="12" t="s">
        <v>2468</v>
      </c>
      <c r="H263" s="12"/>
      <c r="I263" s="12"/>
      <c r="J263" s="12" t="s">
        <v>2469</v>
      </c>
      <c r="K263" s="45">
        <v>45447</v>
      </c>
      <c r="L263" s="45">
        <v>45447</v>
      </c>
      <c r="M263" s="45">
        <v>45470</v>
      </c>
      <c r="N263" s="12" t="s">
        <v>59</v>
      </c>
      <c r="O263" s="12" t="s">
        <v>60</v>
      </c>
      <c r="P263" s="12"/>
      <c r="Q263" s="12"/>
      <c r="R263" s="12" t="s">
        <v>1932</v>
      </c>
      <c r="S263" s="12"/>
      <c r="T263"/>
    </row>
    <row r="264" spans="1:20" ht="104.1" customHeight="1" x14ac:dyDescent="0.25">
      <c r="A264" s="12" t="s">
        <v>2470</v>
      </c>
      <c r="B264" s="12" t="s">
        <v>129</v>
      </c>
      <c r="C264" s="12" t="s">
        <v>130</v>
      </c>
      <c r="D264" s="12" t="s">
        <v>126</v>
      </c>
      <c r="E264" s="12" t="s">
        <v>1862</v>
      </c>
      <c r="F264" s="12" t="s">
        <v>56</v>
      </c>
      <c r="G264" s="12" t="s">
        <v>1879</v>
      </c>
      <c r="H264" s="12"/>
      <c r="I264" s="12"/>
      <c r="J264" s="12" t="s">
        <v>1867</v>
      </c>
      <c r="K264" s="45">
        <v>42572</v>
      </c>
      <c r="L264" s="45"/>
      <c r="M264" s="45">
        <v>42572</v>
      </c>
      <c r="N264" s="12" t="s">
        <v>91</v>
      </c>
      <c r="O264" s="12" t="s">
        <v>60</v>
      </c>
      <c r="P264" s="12"/>
      <c r="Q264" s="12"/>
      <c r="R264" s="12" t="s">
        <v>1881</v>
      </c>
      <c r="S264" s="12"/>
      <c r="T264"/>
    </row>
    <row r="265" spans="1:20" ht="39" customHeight="1" x14ac:dyDescent="0.25">
      <c r="A265" s="12" t="s">
        <v>2471</v>
      </c>
      <c r="B265" s="12" t="s">
        <v>129</v>
      </c>
      <c r="C265" s="12" t="s">
        <v>130</v>
      </c>
      <c r="D265" s="12" t="s">
        <v>236</v>
      </c>
      <c r="E265" s="12" t="s">
        <v>1862</v>
      </c>
      <c r="F265" s="12" t="s">
        <v>56</v>
      </c>
      <c r="G265" s="12" t="s">
        <v>2046</v>
      </c>
      <c r="H265" s="12"/>
      <c r="I265" s="12"/>
      <c r="J265" s="12" t="s">
        <v>1867</v>
      </c>
      <c r="K265" s="45">
        <v>43584</v>
      </c>
      <c r="L265" s="45">
        <v>43584</v>
      </c>
      <c r="M265" s="45">
        <v>43585</v>
      </c>
      <c r="N265" s="12" t="s">
        <v>91</v>
      </c>
      <c r="O265" s="12" t="s">
        <v>60</v>
      </c>
      <c r="P265" s="12"/>
      <c r="Q265" s="12"/>
      <c r="R265" s="12" t="s">
        <v>1929</v>
      </c>
      <c r="S265" s="12"/>
      <c r="T265"/>
    </row>
    <row r="266" spans="1:20" ht="104.1" customHeight="1" x14ac:dyDescent="0.25">
      <c r="A266" s="12" t="s">
        <v>2472</v>
      </c>
      <c r="B266" s="12" t="s">
        <v>129</v>
      </c>
      <c r="C266" s="12" t="s">
        <v>130</v>
      </c>
      <c r="D266" s="12" t="s">
        <v>55</v>
      </c>
      <c r="E266" s="12" t="s">
        <v>1862</v>
      </c>
      <c r="F266" s="12" t="s">
        <v>56</v>
      </c>
      <c r="G266" s="12" t="s">
        <v>1873</v>
      </c>
      <c r="H266" s="12"/>
      <c r="I266" s="12"/>
      <c r="J266" s="12" t="s">
        <v>1867</v>
      </c>
      <c r="K266" s="45">
        <v>43419</v>
      </c>
      <c r="L266" s="45">
        <v>43419</v>
      </c>
      <c r="M266" s="45">
        <v>43434</v>
      </c>
      <c r="N266" s="12" t="s">
        <v>91</v>
      </c>
      <c r="O266" s="12" t="s">
        <v>60</v>
      </c>
      <c r="P266" s="12"/>
      <c r="Q266" s="12"/>
      <c r="R266" s="12" t="s">
        <v>1874</v>
      </c>
      <c r="S266" s="12"/>
      <c r="T266"/>
    </row>
    <row r="267" spans="1:20" ht="65.099999999999994" customHeight="1" x14ac:dyDescent="0.25">
      <c r="A267" s="12" t="s">
        <v>2473</v>
      </c>
      <c r="B267" s="12" t="s">
        <v>129</v>
      </c>
      <c r="C267" s="12" t="s">
        <v>130</v>
      </c>
      <c r="D267" s="12" t="s">
        <v>236</v>
      </c>
      <c r="E267" s="12" t="s">
        <v>1862</v>
      </c>
      <c r="F267" s="12" t="s">
        <v>56</v>
      </c>
      <c r="G267" s="12" t="s">
        <v>1876</v>
      </c>
      <c r="H267" s="12"/>
      <c r="I267" s="12"/>
      <c r="J267" s="12" t="s">
        <v>1867</v>
      </c>
      <c r="K267" s="45">
        <v>43584</v>
      </c>
      <c r="L267" s="45">
        <v>43584</v>
      </c>
      <c r="M267" s="45">
        <v>43585</v>
      </c>
      <c r="N267" s="12" t="s">
        <v>59</v>
      </c>
      <c r="O267" s="12" t="s">
        <v>60</v>
      </c>
      <c r="P267" s="12"/>
      <c r="Q267" s="12"/>
      <c r="R267" s="12" t="s">
        <v>1877</v>
      </c>
      <c r="S267" s="12"/>
      <c r="T267"/>
    </row>
    <row r="268" spans="1:20" ht="117" customHeight="1" x14ac:dyDescent="0.25">
      <c r="A268" s="12" t="s">
        <v>2474</v>
      </c>
      <c r="B268" s="12" t="s">
        <v>129</v>
      </c>
      <c r="C268" s="12" t="s">
        <v>130</v>
      </c>
      <c r="D268" s="12" t="s">
        <v>252</v>
      </c>
      <c r="E268" s="12" t="s">
        <v>1862</v>
      </c>
      <c r="F268" s="12" t="s">
        <v>56</v>
      </c>
      <c r="G268" s="12" t="s">
        <v>2475</v>
      </c>
      <c r="H268" s="12"/>
      <c r="I268" s="12"/>
      <c r="J268" s="12" t="s">
        <v>915</v>
      </c>
      <c r="K268" s="45">
        <v>45462</v>
      </c>
      <c r="L268" s="45">
        <v>45462</v>
      </c>
      <c r="M268" s="45">
        <v>45498</v>
      </c>
      <c r="N268" s="12" t="s">
        <v>59</v>
      </c>
      <c r="O268" s="12" t="s">
        <v>60</v>
      </c>
      <c r="P268" s="12"/>
      <c r="Q268" s="12"/>
      <c r="R268" s="12" t="s">
        <v>1886</v>
      </c>
      <c r="S268" s="12"/>
      <c r="T268"/>
    </row>
    <row r="269" spans="1:20" ht="104.1" customHeight="1" x14ac:dyDescent="0.25">
      <c r="A269" s="12" t="s">
        <v>2476</v>
      </c>
      <c r="B269" s="12" t="s">
        <v>132</v>
      </c>
      <c r="C269" s="12" t="s">
        <v>133</v>
      </c>
      <c r="D269" s="12" t="s">
        <v>224</v>
      </c>
      <c r="E269" s="12" t="s">
        <v>1862</v>
      </c>
      <c r="F269" s="12" t="s">
        <v>212</v>
      </c>
      <c r="G269" s="12" t="s">
        <v>2477</v>
      </c>
      <c r="H269" s="12"/>
      <c r="I269" s="12"/>
      <c r="J269" s="12" t="s">
        <v>90</v>
      </c>
      <c r="K269" s="45">
        <v>44806</v>
      </c>
      <c r="L269" s="45">
        <v>44803</v>
      </c>
      <c r="M269" s="45">
        <v>44819</v>
      </c>
      <c r="N269" s="12" t="s">
        <v>59</v>
      </c>
      <c r="O269" s="12" t="s">
        <v>60</v>
      </c>
      <c r="P269" s="12"/>
      <c r="Q269" s="12"/>
      <c r="R269" s="12" t="s">
        <v>1897</v>
      </c>
      <c r="S269" s="12"/>
      <c r="T269"/>
    </row>
    <row r="270" spans="1:20" ht="104.1" customHeight="1" x14ac:dyDescent="0.25">
      <c r="A270" s="12" t="s">
        <v>2478</v>
      </c>
      <c r="B270" s="12" t="s">
        <v>132</v>
      </c>
      <c r="C270" s="12" t="s">
        <v>133</v>
      </c>
      <c r="D270" s="12" t="s">
        <v>126</v>
      </c>
      <c r="E270" s="12" t="s">
        <v>1862</v>
      </c>
      <c r="F270" s="12" t="s">
        <v>56</v>
      </c>
      <c r="G270" s="12" t="s">
        <v>1879</v>
      </c>
      <c r="H270" s="12"/>
      <c r="I270" s="12"/>
      <c r="J270" s="12" t="s">
        <v>1867</v>
      </c>
      <c r="K270" s="45">
        <v>42584</v>
      </c>
      <c r="L270" s="45">
        <v>42584</v>
      </c>
      <c r="M270" s="45">
        <v>42585</v>
      </c>
      <c r="N270" s="12" t="s">
        <v>91</v>
      </c>
      <c r="O270" s="12" t="s">
        <v>60</v>
      </c>
      <c r="P270" s="12"/>
      <c r="Q270" s="12"/>
      <c r="R270" s="12" t="s">
        <v>1881</v>
      </c>
      <c r="S270" s="12" t="s">
        <v>2479</v>
      </c>
      <c r="T270"/>
    </row>
    <row r="271" spans="1:20" ht="90.95" customHeight="1" x14ac:dyDescent="0.25">
      <c r="A271" s="12" t="s">
        <v>2480</v>
      </c>
      <c r="B271" s="12" t="s">
        <v>132</v>
      </c>
      <c r="C271" s="12" t="s">
        <v>133</v>
      </c>
      <c r="D271" s="12" t="s">
        <v>224</v>
      </c>
      <c r="E271" s="12" t="s">
        <v>1862</v>
      </c>
      <c r="F271" s="12" t="s">
        <v>212</v>
      </c>
      <c r="G271" s="12" t="s">
        <v>2481</v>
      </c>
      <c r="H271" s="12"/>
      <c r="I271" s="12"/>
      <c r="J271" s="12" t="s">
        <v>90</v>
      </c>
      <c r="K271" s="45">
        <v>44803</v>
      </c>
      <c r="L271" s="45">
        <v>44803</v>
      </c>
      <c r="M271" s="45">
        <v>44819</v>
      </c>
      <c r="N271" s="12" t="s">
        <v>59</v>
      </c>
      <c r="O271" s="12" t="s">
        <v>60</v>
      </c>
      <c r="P271" s="12"/>
      <c r="Q271" s="12"/>
      <c r="R271" s="12" t="s">
        <v>1900</v>
      </c>
      <c r="S271" s="12" t="s">
        <v>2482</v>
      </c>
      <c r="T271"/>
    </row>
    <row r="272" spans="1:20" ht="39" customHeight="1" x14ac:dyDescent="0.25">
      <c r="A272" s="12" t="s">
        <v>2483</v>
      </c>
      <c r="B272" s="12" t="s">
        <v>132</v>
      </c>
      <c r="C272" s="12" t="s">
        <v>133</v>
      </c>
      <c r="D272" s="12" t="s">
        <v>252</v>
      </c>
      <c r="E272" s="12" t="s">
        <v>1862</v>
      </c>
      <c r="F272" s="12" t="s">
        <v>212</v>
      </c>
      <c r="G272" s="12" t="s">
        <v>2484</v>
      </c>
      <c r="H272" s="12"/>
      <c r="I272" s="12"/>
      <c r="J272" s="12" t="s">
        <v>1885</v>
      </c>
      <c r="K272" s="45"/>
      <c r="L272" s="45"/>
      <c r="M272" s="45">
        <v>45607</v>
      </c>
      <c r="N272" s="12" t="s">
        <v>59</v>
      </c>
      <c r="O272" s="12" t="s">
        <v>60</v>
      </c>
      <c r="P272" s="12"/>
      <c r="Q272" s="12"/>
      <c r="R272" s="12" t="s">
        <v>1886</v>
      </c>
      <c r="S272" s="12" t="s">
        <v>2485</v>
      </c>
      <c r="T272"/>
    </row>
    <row r="273" spans="1:20" ht="39" customHeight="1" x14ac:dyDescent="0.25">
      <c r="A273" s="12" t="s">
        <v>2486</v>
      </c>
      <c r="B273" s="12" t="s">
        <v>132</v>
      </c>
      <c r="C273" s="12" t="s">
        <v>133</v>
      </c>
      <c r="D273" s="12" t="s">
        <v>126</v>
      </c>
      <c r="E273" s="12" t="s">
        <v>1862</v>
      </c>
      <c r="F273" s="12" t="s">
        <v>56</v>
      </c>
      <c r="G273" s="12" t="s">
        <v>2304</v>
      </c>
      <c r="H273" s="12"/>
      <c r="I273" s="12"/>
      <c r="J273" s="12"/>
      <c r="K273" s="45">
        <v>42669</v>
      </c>
      <c r="L273" s="45">
        <v>42669</v>
      </c>
      <c r="M273" s="45">
        <v>42671</v>
      </c>
      <c r="N273" s="12" t="s">
        <v>91</v>
      </c>
      <c r="O273" s="12" t="s">
        <v>60</v>
      </c>
      <c r="P273" s="12"/>
      <c r="Q273" s="12"/>
      <c r="R273" s="12" t="s">
        <v>1864</v>
      </c>
      <c r="S273" s="12" t="s">
        <v>2487</v>
      </c>
      <c r="T273"/>
    </row>
    <row r="274" spans="1:20" ht="39" customHeight="1" x14ac:dyDescent="0.25">
      <c r="A274" s="12" t="s">
        <v>2488</v>
      </c>
      <c r="B274" s="12" t="s">
        <v>132</v>
      </c>
      <c r="C274" s="12" t="s">
        <v>133</v>
      </c>
      <c r="D274" s="12" t="s">
        <v>236</v>
      </c>
      <c r="E274" s="12" t="s">
        <v>1862</v>
      </c>
      <c r="F274" s="12" t="s">
        <v>56</v>
      </c>
      <c r="G274" s="12" t="s">
        <v>1876</v>
      </c>
      <c r="H274" s="12"/>
      <c r="I274" s="12"/>
      <c r="J274" s="12" t="s">
        <v>1867</v>
      </c>
      <c r="K274" s="45">
        <v>43581</v>
      </c>
      <c r="L274" s="45">
        <v>43578</v>
      </c>
      <c r="M274" s="45">
        <v>43584</v>
      </c>
      <c r="N274" s="12" t="s">
        <v>59</v>
      </c>
      <c r="O274" s="12" t="s">
        <v>60</v>
      </c>
      <c r="P274" s="12"/>
      <c r="Q274" s="12"/>
      <c r="R274" s="12" t="s">
        <v>1877</v>
      </c>
      <c r="S274" s="12" t="s">
        <v>2489</v>
      </c>
      <c r="T274"/>
    </row>
    <row r="275" spans="1:20" ht="65.099999999999994" customHeight="1" x14ac:dyDescent="0.25">
      <c r="A275" s="12" t="s">
        <v>2490</v>
      </c>
      <c r="B275" s="12" t="s">
        <v>132</v>
      </c>
      <c r="C275" s="12" t="s">
        <v>133</v>
      </c>
      <c r="D275" s="12" t="s">
        <v>224</v>
      </c>
      <c r="E275" s="12" t="s">
        <v>1862</v>
      </c>
      <c r="F275" s="12" t="s">
        <v>212</v>
      </c>
      <c r="G275" s="12" t="s">
        <v>2491</v>
      </c>
      <c r="H275" s="12"/>
      <c r="I275" s="12"/>
      <c r="J275" s="12" t="s">
        <v>1381</v>
      </c>
      <c r="K275" s="45">
        <v>44803</v>
      </c>
      <c r="L275" s="45">
        <v>44803</v>
      </c>
      <c r="M275" s="45">
        <v>44819</v>
      </c>
      <c r="N275" s="12" t="s">
        <v>59</v>
      </c>
      <c r="O275" s="12" t="s">
        <v>60</v>
      </c>
      <c r="P275" s="12"/>
      <c r="Q275" s="12"/>
      <c r="R275" s="12" t="s">
        <v>1938</v>
      </c>
      <c r="S275" s="12" t="s">
        <v>2482</v>
      </c>
      <c r="T275"/>
    </row>
    <row r="276" spans="1:20" ht="51.95" customHeight="1" x14ac:dyDescent="0.25">
      <c r="A276" s="12" t="s">
        <v>2492</v>
      </c>
      <c r="B276" s="12" t="s">
        <v>132</v>
      </c>
      <c r="C276" s="12" t="s">
        <v>133</v>
      </c>
      <c r="D276" s="12" t="s">
        <v>224</v>
      </c>
      <c r="E276" s="12" t="s">
        <v>1862</v>
      </c>
      <c r="F276" s="12" t="s">
        <v>212</v>
      </c>
      <c r="G276" s="12" t="s">
        <v>2493</v>
      </c>
      <c r="H276" s="12"/>
      <c r="I276" s="12"/>
      <c r="J276" s="12"/>
      <c r="K276" s="45">
        <v>44536</v>
      </c>
      <c r="L276" s="45">
        <v>44529</v>
      </c>
      <c r="M276" s="45">
        <v>44578</v>
      </c>
      <c r="N276" s="12" t="s">
        <v>59</v>
      </c>
      <c r="O276" s="12" t="s">
        <v>60</v>
      </c>
      <c r="P276" s="12"/>
      <c r="Q276" s="12"/>
      <c r="R276" s="12" t="s">
        <v>1868</v>
      </c>
      <c r="S276" s="12"/>
      <c r="T276"/>
    </row>
    <row r="277" spans="1:20" ht="39" customHeight="1" x14ac:dyDescent="0.25">
      <c r="A277" s="12" t="s">
        <v>2494</v>
      </c>
      <c r="B277" s="12" t="s">
        <v>132</v>
      </c>
      <c r="C277" s="12" t="s">
        <v>133</v>
      </c>
      <c r="D277" s="12" t="s">
        <v>224</v>
      </c>
      <c r="E277" s="12" t="s">
        <v>1862</v>
      </c>
      <c r="F277" s="12" t="s">
        <v>212</v>
      </c>
      <c r="G277" s="12" t="s">
        <v>2495</v>
      </c>
      <c r="H277" s="12"/>
      <c r="I277" s="12"/>
      <c r="J277" s="12" t="s">
        <v>90</v>
      </c>
      <c r="K277" s="45">
        <v>44803</v>
      </c>
      <c r="L277" s="45">
        <v>44803</v>
      </c>
      <c r="M277" s="45">
        <v>44819</v>
      </c>
      <c r="N277" s="12" t="s">
        <v>59</v>
      </c>
      <c r="O277" s="12" t="s">
        <v>60</v>
      </c>
      <c r="P277" s="12"/>
      <c r="Q277" s="12"/>
      <c r="R277" s="12" t="s">
        <v>1986</v>
      </c>
      <c r="S277" s="12" t="s">
        <v>2482</v>
      </c>
      <c r="T277"/>
    </row>
    <row r="278" spans="1:20" ht="51.95" customHeight="1" x14ac:dyDescent="0.25">
      <c r="A278" s="12" t="s">
        <v>2496</v>
      </c>
      <c r="B278" s="12" t="s">
        <v>132</v>
      </c>
      <c r="C278" s="12" t="s">
        <v>133</v>
      </c>
      <c r="D278" s="12" t="s">
        <v>220</v>
      </c>
      <c r="E278" s="12" t="s">
        <v>1862</v>
      </c>
      <c r="F278" s="12" t="s">
        <v>1307</v>
      </c>
      <c r="G278" s="12" t="s">
        <v>2497</v>
      </c>
      <c r="H278" s="12"/>
      <c r="I278" s="12"/>
      <c r="J278" s="12" t="s">
        <v>1880</v>
      </c>
      <c r="K278" s="45">
        <v>45196</v>
      </c>
      <c r="L278" s="45">
        <v>45196</v>
      </c>
      <c r="M278" s="45">
        <v>45222</v>
      </c>
      <c r="N278" s="12" t="s">
        <v>59</v>
      </c>
      <c r="O278" s="12" t="s">
        <v>60</v>
      </c>
      <c r="P278" s="12"/>
      <c r="Q278" s="12"/>
      <c r="R278" s="12" t="s">
        <v>1918</v>
      </c>
      <c r="S278" s="12" t="s">
        <v>2498</v>
      </c>
      <c r="T278"/>
    </row>
    <row r="279" spans="1:20" ht="39" customHeight="1" x14ac:dyDescent="0.25">
      <c r="A279" s="12" t="s">
        <v>2499</v>
      </c>
      <c r="B279" s="12" t="s">
        <v>132</v>
      </c>
      <c r="C279" s="12" t="s">
        <v>133</v>
      </c>
      <c r="D279" s="12" t="s">
        <v>236</v>
      </c>
      <c r="E279" s="12" t="s">
        <v>1862</v>
      </c>
      <c r="F279" s="12" t="s">
        <v>56</v>
      </c>
      <c r="G279" s="12" t="s">
        <v>1866</v>
      </c>
      <c r="H279" s="12"/>
      <c r="I279" s="12"/>
      <c r="J279" s="12" t="s">
        <v>1867</v>
      </c>
      <c r="K279" s="45">
        <v>43581</v>
      </c>
      <c r="L279" s="45">
        <v>43578</v>
      </c>
      <c r="M279" s="45">
        <v>43584</v>
      </c>
      <c r="N279" s="12" t="s">
        <v>59</v>
      </c>
      <c r="O279" s="12" t="s">
        <v>60</v>
      </c>
      <c r="P279" s="12"/>
      <c r="Q279" s="12"/>
      <c r="R279" s="12" t="s">
        <v>1868</v>
      </c>
      <c r="S279" s="12" t="s">
        <v>2489</v>
      </c>
      <c r="T279"/>
    </row>
    <row r="280" spans="1:20" ht="104.1" customHeight="1" x14ac:dyDescent="0.25">
      <c r="A280" s="12" t="s">
        <v>2500</v>
      </c>
      <c r="B280" s="12" t="s">
        <v>132</v>
      </c>
      <c r="C280" s="12" t="s">
        <v>133</v>
      </c>
      <c r="D280" s="12" t="s">
        <v>252</v>
      </c>
      <c r="E280" s="12" t="s">
        <v>1862</v>
      </c>
      <c r="F280" s="12" t="s">
        <v>1307</v>
      </c>
      <c r="G280" s="12" t="s">
        <v>2501</v>
      </c>
      <c r="H280" s="12"/>
      <c r="I280" s="12"/>
      <c r="J280" s="12" t="s">
        <v>2131</v>
      </c>
      <c r="K280" s="45">
        <v>45363</v>
      </c>
      <c r="L280" s="45">
        <v>45363</v>
      </c>
      <c r="M280" s="45">
        <v>45385</v>
      </c>
      <c r="N280" s="12" t="s">
        <v>59</v>
      </c>
      <c r="O280" s="12" t="s">
        <v>60</v>
      </c>
      <c r="P280" s="12"/>
      <c r="Q280" s="12"/>
      <c r="R280" s="12" t="s">
        <v>1963</v>
      </c>
      <c r="S280" s="12" t="s">
        <v>2502</v>
      </c>
      <c r="T280"/>
    </row>
    <row r="281" spans="1:20" ht="104.1" customHeight="1" x14ac:dyDescent="0.25">
      <c r="A281" s="12" t="s">
        <v>2503</v>
      </c>
      <c r="B281" s="12" t="s">
        <v>132</v>
      </c>
      <c r="C281" s="12" t="s">
        <v>133</v>
      </c>
      <c r="D281" s="12" t="s">
        <v>55</v>
      </c>
      <c r="E281" s="12" t="s">
        <v>1862</v>
      </c>
      <c r="F281" s="12" t="s">
        <v>56</v>
      </c>
      <c r="G281" s="12" t="s">
        <v>1873</v>
      </c>
      <c r="H281" s="12"/>
      <c r="I281" s="12"/>
      <c r="J281" s="12" t="s">
        <v>1867</v>
      </c>
      <c r="K281" s="45">
        <v>43452</v>
      </c>
      <c r="L281" s="45">
        <v>43452</v>
      </c>
      <c r="M281" s="45">
        <v>43454</v>
      </c>
      <c r="N281" s="12" t="s">
        <v>59</v>
      </c>
      <c r="O281" s="12" t="s">
        <v>60</v>
      </c>
      <c r="P281" s="12"/>
      <c r="Q281" s="12"/>
      <c r="R281" s="12" t="s">
        <v>1874</v>
      </c>
      <c r="S281" s="12" t="s">
        <v>2504</v>
      </c>
      <c r="T281"/>
    </row>
    <row r="282" spans="1:20" ht="65.099999999999994" customHeight="1" x14ac:dyDescent="0.25">
      <c r="A282" s="12" t="s">
        <v>2505</v>
      </c>
      <c r="B282" s="12" t="s">
        <v>132</v>
      </c>
      <c r="C282" s="12" t="s">
        <v>133</v>
      </c>
      <c r="D282" s="12" t="s">
        <v>228</v>
      </c>
      <c r="E282" s="12" t="s">
        <v>1862</v>
      </c>
      <c r="F282" s="12" t="s">
        <v>56</v>
      </c>
      <c r="G282" s="12" t="s">
        <v>2506</v>
      </c>
      <c r="H282" s="12"/>
      <c r="I282" s="12"/>
      <c r="J282" s="12"/>
      <c r="K282" s="45">
        <v>44390</v>
      </c>
      <c r="L282" s="45">
        <v>44390</v>
      </c>
      <c r="M282" s="45">
        <v>44397</v>
      </c>
      <c r="N282" s="12" t="s">
        <v>59</v>
      </c>
      <c r="O282" s="12" t="s">
        <v>60</v>
      </c>
      <c r="P282" s="12"/>
      <c r="Q282" s="12"/>
      <c r="R282" s="12" t="s">
        <v>1904</v>
      </c>
      <c r="S282" s="12" t="s">
        <v>2507</v>
      </c>
      <c r="T282"/>
    </row>
    <row r="283" spans="1:20" ht="26.1" customHeight="1" x14ac:dyDescent="0.25">
      <c r="A283" s="12" t="s">
        <v>2508</v>
      </c>
      <c r="B283" s="12" t="s">
        <v>132</v>
      </c>
      <c r="C283" s="12" t="s">
        <v>133</v>
      </c>
      <c r="D283" s="12" t="s">
        <v>252</v>
      </c>
      <c r="E283" s="12" t="s">
        <v>1862</v>
      </c>
      <c r="F283" s="12" t="s">
        <v>56</v>
      </c>
      <c r="G283" s="12" t="s">
        <v>2509</v>
      </c>
      <c r="H283" s="12"/>
      <c r="I283" s="12"/>
      <c r="J283" s="12" t="s">
        <v>915</v>
      </c>
      <c r="K283" s="45">
        <v>45499</v>
      </c>
      <c r="L283" s="45">
        <v>45490</v>
      </c>
      <c r="M283" s="45">
        <v>45499</v>
      </c>
      <c r="N283" s="12" t="s">
        <v>59</v>
      </c>
      <c r="O283" s="12" t="s">
        <v>60</v>
      </c>
      <c r="P283" s="12"/>
      <c r="Q283" s="12"/>
      <c r="R283" s="12" t="s">
        <v>1932</v>
      </c>
      <c r="S283" s="12" t="s">
        <v>2510</v>
      </c>
      <c r="T283"/>
    </row>
    <row r="284" spans="1:20" ht="39" customHeight="1" x14ac:dyDescent="0.25">
      <c r="A284" s="12" t="s">
        <v>2511</v>
      </c>
      <c r="B284" s="12" t="s">
        <v>132</v>
      </c>
      <c r="C284" s="12" t="s">
        <v>133</v>
      </c>
      <c r="D284" s="12" t="s">
        <v>224</v>
      </c>
      <c r="E284" s="12" t="s">
        <v>1883</v>
      </c>
      <c r="F284" s="12" t="s">
        <v>56</v>
      </c>
      <c r="G284" s="12" t="s">
        <v>2512</v>
      </c>
      <c r="H284" s="12"/>
      <c r="I284" s="12"/>
      <c r="J284" s="12" t="s">
        <v>90</v>
      </c>
      <c r="K284" s="45">
        <v>44958</v>
      </c>
      <c r="L284" s="45">
        <v>44845</v>
      </c>
      <c r="M284" s="45">
        <v>44859</v>
      </c>
      <c r="N284" s="12" t="s">
        <v>59</v>
      </c>
      <c r="O284" s="12" t="s">
        <v>60</v>
      </c>
      <c r="P284" s="12"/>
      <c r="Q284" s="12"/>
      <c r="R284" s="12" t="s">
        <v>1910</v>
      </c>
      <c r="S284" s="12" t="s">
        <v>2513</v>
      </c>
      <c r="T284"/>
    </row>
    <row r="285" spans="1:20" ht="90.95" customHeight="1" x14ac:dyDescent="0.25">
      <c r="A285" s="12" t="s">
        <v>2514</v>
      </c>
      <c r="B285" s="12" t="s">
        <v>132</v>
      </c>
      <c r="C285" s="12" t="s">
        <v>133</v>
      </c>
      <c r="D285" s="12" t="s">
        <v>55</v>
      </c>
      <c r="E285" s="12" t="s">
        <v>1862</v>
      </c>
      <c r="F285" s="12" t="s">
        <v>56</v>
      </c>
      <c r="G285" s="12" t="s">
        <v>1870</v>
      </c>
      <c r="H285" s="12"/>
      <c r="I285" s="12"/>
      <c r="J285" s="12"/>
      <c r="K285" s="45">
        <v>43186</v>
      </c>
      <c r="L285" s="45">
        <v>43186</v>
      </c>
      <c r="M285" s="45">
        <v>43193</v>
      </c>
      <c r="N285" s="12" t="s">
        <v>91</v>
      </c>
      <c r="O285" s="12" t="s">
        <v>60</v>
      </c>
      <c r="P285" s="12"/>
      <c r="Q285" s="12"/>
      <c r="R285" s="12" t="s">
        <v>1871</v>
      </c>
      <c r="S285" s="12"/>
      <c r="T285"/>
    </row>
    <row r="286" spans="1:20" ht="90.95" customHeight="1" x14ac:dyDescent="0.25">
      <c r="A286" s="12" t="s">
        <v>2515</v>
      </c>
      <c r="B286" s="12" t="s">
        <v>140</v>
      </c>
      <c r="C286" s="12" t="s">
        <v>141</v>
      </c>
      <c r="D286" s="12" t="s">
        <v>236</v>
      </c>
      <c r="E286" s="12" t="s">
        <v>1862</v>
      </c>
      <c r="F286" s="12" t="s">
        <v>56</v>
      </c>
      <c r="G286" s="12" t="s">
        <v>1873</v>
      </c>
      <c r="H286" s="12"/>
      <c r="I286" s="12"/>
      <c r="J286" s="12" t="s">
        <v>1867</v>
      </c>
      <c r="K286" s="45">
        <v>43634</v>
      </c>
      <c r="L286" s="45">
        <v>43634</v>
      </c>
      <c r="M286" s="45">
        <v>43635</v>
      </c>
      <c r="N286" s="12" t="s">
        <v>91</v>
      </c>
      <c r="O286" s="12" t="s">
        <v>60</v>
      </c>
      <c r="P286" s="12"/>
      <c r="Q286" s="12"/>
      <c r="R286" s="12" t="s">
        <v>1874</v>
      </c>
      <c r="S286" s="12"/>
      <c r="T286"/>
    </row>
    <row r="287" spans="1:20" ht="129.94999999999999" customHeight="1" x14ac:dyDescent="0.25">
      <c r="A287" s="12" t="s">
        <v>2516</v>
      </c>
      <c r="B287" s="12" t="s">
        <v>140</v>
      </c>
      <c r="C287" s="12" t="s">
        <v>141</v>
      </c>
      <c r="D287" s="12" t="s">
        <v>224</v>
      </c>
      <c r="E287" s="12" t="s">
        <v>1862</v>
      </c>
      <c r="F287" s="12" t="s">
        <v>212</v>
      </c>
      <c r="G287" s="12" t="s">
        <v>2517</v>
      </c>
      <c r="H287" s="12"/>
      <c r="I287" s="12"/>
      <c r="J287" s="12" t="s">
        <v>1381</v>
      </c>
      <c r="K287" s="45">
        <v>44860</v>
      </c>
      <c r="L287" s="45">
        <v>44860</v>
      </c>
      <c r="M287" s="45">
        <v>44862</v>
      </c>
      <c r="N287" s="12" t="s">
        <v>59</v>
      </c>
      <c r="O287" s="12" t="s">
        <v>60</v>
      </c>
      <c r="P287" s="12"/>
      <c r="Q287" s="12"/>
      <c r="R287" s="12" t="s">
        <v>1910</v>
      </c>
      <c r="S287" s="12" t="s">
        <v>2518</v>
      </c>
      <c r="T287"/>
    </row>
    <row r="288" spans="1:20" ht="78" customHeight="1" x14ac:dyDescent="0.25">
      <c r="A288" s="12" t="s">
        <v>2519</v>
      </c>
      <c r="B288" s="12" t="s">
        <v>140</v>
      </c>
      <c r="C288" s="12" t="s">
        <v>768</v>
      </c>
      <c r="D288" s="12" t="s">
        <v>252</v>
      </c>
      <c r="E288" s="12" t="s">
        <v>1862</v>
      </c>
      <c r="F288" s="12" t="s">
        <v>1167</v>
      </c>
      <c r="G288" s="12" t="s">
        <v>2520</v>
      </c>
      <c r="H288" s="12"/>
      <c r="I288" s="12"/>
      <c r="J288" s="12"/>
      <c r="K288" s="45">
        <v>45453</v>
      </c>
      <c r="L288" s="45">
        <v>45453</v>
      </c>
      <c r="M288" s="45">
        <v>45453</v>
      </c>
      <c r="N288" s="12" t="s">
        <v>59</v>
      </c>
      <c r="O288" s="12" t="s">
        <v>60</v>
      </c>
      <c r="P288" s="12"/>
      <c r="Q288" s="12"/>
      <c r="R288" s="12" t="s">
        <v>1963</v>
      </c>
      <c r="S288" s="12" t="s">
        <v>2518</v>
      </c>
      <c r="T288"/>
    </row>
    <row r="289" spans="1:20" ht="117" customHeight="1" x14ac:dyDescent="0.25">
      <c r="A289" s="12" t="s">
        <v>2521</v>
      </c>
      <c r="B289" s="12" t="s">
        <v>140</v>
      </c>
      <c r="C289" s="12" t="s">
        <v>141</v>
      </c>
      <c r="D289" s="12" t="s">
        <v>224</v>
      </c>
      <c r="E289" s="12" t="s">
        <v>1862</v>
      </c>
      <c r="F289" s="12" t="s">
        <v>212</v>
      </c>
      <c r="G289" s="12" t="s">
        <v>2522</v>
      </c>
      <c r="H289" s="12"/>
      <c r="I289" s="12"/>
      <c r="J289" s="12" t="s">
        <v>90</v>
      </c>
      <c r="K289" s="45">
        <v>44860</v>
      </c>
      <c r="L289" s="45">
        <v>44860</v>
      </c>
      <c r="M289" s="45">
        <v>44862</v>
      </c>
      <c r="N289" s="12" t="s">
        <v>91</v>
      </c>
      <c r="O289" s="12" t="s">
        <v>60</v>
      </c>
      <c r="P289" s="12"/>
      <c r="Q289" s="12"/>
      <c r="R289" s="12" t="s">
        <v>1986</v>
      </c>
      <c r="S289" s="12" t="s">
        <v>2523</v>
      </c>
      <c r="T289"/>
    </row>
    <row r="290" spans="1:20" ht="117" customHeight="1" x14ac:dyDescent="0.25">
      <c r="A290" s="12" t="s">
        <v>2524</v>
      </c>
      <c r="B290" s="12" t="s">
        <v>140</v>
      </c>
      <c r="C290" s="12" t="s">
        <v>141</v>
      </c>
      <c r="D290" s="12" t="s">
        <v>126</v>
      </c>
      <c r="E290" s="12" t="s">
        <v>1883</v>
      </c>
      <c r="F290" s="12" t="s">
        <v>56</v>
      </c>
      <c r="G290" s="12" t="s">
        <v>2525</v>
      </c>
      <c r="H290" s="12" t="s">
        <v>2526</v>
      </c>
      <c r="I290" s="12"/>
      <c r="J290" s="12" t="s">
        <v>1880</v>
      </c>
      <c r="K290" s="45">
        <v>42675</v>
      </c>
      <c r="L290" s="45">
        <v>42662</v>
      </c>
      <c r="M290" s="45">
        <v>42664</v>
      </c>
      <c r="N290" s="12" t="s">
        <v>91</v>
      </c>
      <c r="O290" s="12" t="s">
        <v>60</v>
      </c>
      <c r="P290" s="12"/>
      <c r="Q290" s="12"/>
      <c r="R290" s="12" t="s">
        <v>1881</v>
      </c>
      <c r="S290" s="12"/>
      <c r="T290"/>
    </row>
    <row r="291" spans="1:20" ht="51.95" customHeight="1" x14ac:dyDescent="0.25">
      <c r="A291" s="12" t="s">
        <v>2527</v>
      </c>
      <c r="B291" s="12" t="s">
        <v>140</v>
      </c>
      <c r="C291" s="12" t="s">
        <v>768</v>
      </c>
      <c r="D291" s="12" t="s">
        <v>220</v>
      </c>
      <c r="E291" s="12" t="s">
        <v>1862</v>
      </c>
      <c r="F291" s="12" t="s">
        <v>1307</v>
      </c>
      <c r="G291" s="12" t="s">
        <v>2528</v>
      </c>
      <c r="H291" s="12"/>
      <c r="I291" s="12"/>
      <c r="J291" s="12" t="s">
        <v>2529</v>
      </c>
      <c r="K291" s="45">
        <v>45089</v>
      </c>
      <c r="L291" s="45">
        <v>45089</v>
      </c>
      <c r="M291" s="45">
        <v>45089</v>
      </c>
      <c r="N291" s="12" t="s">
        <v>59</v>
      </c>
      <c r="O291" s="12" t="s">
        <v>60</v>
      </c>
      <c r="P291" s="12"/>
      <c r="Q291" s="12"/>
      <c r="R291" s="12" t="s">
        <v>1978</v>
      </c>
      <c r="S291" s="12" t="s">
        <v>2518</v>
      </c>
      <c r="T291"/>
    </row>
    <row r="292" spans="1:20" ht="39" customHeight="1" x14ac:dyDescent="0.25">
      <c r="A292" s="12" t="s">
        <v>2530</v>
      </c>
      <c r="B292" s="12" t="s">
        <v>140</v>
      </c>
      <c r="C292" s="12" t="s">
        <v>141</v>
      </c>
      <c r="D292" s="12" t="s">
        <v>228</v>
      </c>
      <c r="E292" s="12" t="s">
        <v>1862</v>
      </c>
      <c r="F292" s="12" t="s">
        <v>56</v>
      </c>
      <c r="G292" s="12" t="s">
        <v>2531</v>
      </c>
      <c r="H292" s="12"/>
      <c r="I292" s="12"/>
      <c r="J292" s="12"/>
      <c r="K292" s="45">
        <v>44495</v>
      </c>
      <c r="L292" s="45">
        <v>44495</v>
      </c>
      <c r="M292" s="45">
        <v>44501</v>
      </c>
      <c r="N292" s="12" t="s">
        <v>59</v>
      </c>
      <c r="O292" s="12" t="s">
        <v>60</v>
      </c>
      <c r="P292" s="12"/>
      <c r="Q292" s="12"/>
      <c r="R292" s="12" t="s">
        <v>1894</v>
      </c>
      <c r="S292" s="12" t="s">
        <v>2532</v>
      </c>
      <c r="T292"/>
    </row>
    <row r="293" spans="1:20" ht="65.099999999999994" customHeight="1" x14ac:dyDescent="0.25">
      <c r="A293" s="12" t="s">
        <v>2533</v>
      </c>
      <c r="B293" s="12" t="s">
        <v>140</v>
      </c>
      <c r="C293" s="12" t="s">
        <v>141</v>
      </c>
      <c r="D293" s="12" t="s">
        <v>236</v>
      </c>
      <c r="E293" s="12" t="s">
        <v>1862</v>
      </c>
      <c r="F293" s="12" t="s">
        <v>56</v>
      </c>
      <c r="G293" s="12" t="s">
        <v>1876</v>
      </c>
      <c r="H293" s="12"/>
      <c r="I293" s="12"/>
      <c r="J293" s="12" t="s">
        <v>1867</v>
      </c>
      <c r="K293" s="45">
        <v>43634</v>
      </c>
      <c r="L293" s="45">
        <v>43634</v>
      </c>
      <c r="M293" s="45">
        <v>43635</v>
      </c>
      <c r="N293" s="12" t="s">
        <v>59</v>
      </c>
      <c r="O293" s="12" t="s">
        <v>60</v>
      </c>
      <c r="P293" s="12"/>
      <c r="Q293" s="12"/>
      <c r="R293" s="12" t="s">
        <v>1877</v>
      </c>
      <c r="S293" s="12" t="s">
        <v>2534</v>
      </c>
      <c r="T293"/>
    </row>
    <row r="294" spans="1:20" ht="90.95" customHeight="1" x14ac:dyDescent="0.25">
      <c r="A294" s="12" t="s">
        <v>2535</v>
      </c>
      <c r="B294" s="12" t="s">
        <v>140</v>
      </c>
      <c r="C294" s="12" t="s">
        <v>141</v>
      </c>
      <c r="D294" s="12" t="s">
        <v>126</v>
      </c>
      <c r="E294" s="12" t="s">
        <v>1883</v>
      </c>
      <c r="F294" s="12" t="s">
        <v>56</v>
      </c>
      <c r="G294" s="12" t="s">
        <v>1888</v>
      </c>
      <c r="H294" s="12" t="s">
        <v>2526</v>
      </c>
      <c r="I294" s="12"/>
      <c r="J294" s="12" t="s">
        <v>2001</v>
      </c>
      <c r="K294" s="45">
        <v>42826</v>
      </c>
      <c r="L294" s="45">
        <v>42662</v>
      </c>
      <c r="M294" s="45">
        <v>42664</v>
      </c>
      <c r="N294" s="12" t="s">
        <v>91</v>
      </c>
      <c r="O294" s="12" t="s">
        <v>60</v>
      </c>
      <c r="P294" s="12"/>
      <c r="Q294" s="12"/>
      <c r="R294" s="12" t="s">
        <v>1864</v>
      </c>
      <c r="S294" s="12"/>
      <c r="T294"/>
    </row>
    <row r="295" spans="1:20" ht="51.95" customHeight="1" x14ac:dyDescent="0.25">
      <c r="A295" s="12" t="s">
        <v>2536</v>
      </c>
      <c r="B295" s="12" t="s">
        <v>140</v>
      </c>
      <c r="C295" s="12" t="s">
        <v>141</v>
      </c>
      <c r="D295" s="12" t="s">
        <v>228</v>
      </c>
      <c r="E295" s="12" t="s">
        <v>1862</v>
      </c>
      <c r="F295" s="12" t="s">
        <v>212</v>
      </c>
      <c r="G295" s="12" t="s">
        <v>2537</v>
      </c>
      <c r="H295" s="12"/>
      <c r="I295" s="12"/>
      <c r="J295" s="12"/>
      <c r="K295" s="45">
        <v>44495</v>
      </c>
      <c r="L295" s="45">
        <v>44495</v>
      </c>
      <c r="M295" s="45">
        <v>44501</v>
      </c>
      <c r="N295" s="12" t="s">
        <v>59</v>
      </c>
      <c r="O295" s="12" t="s">
        <v>60</v>
      </c>
      <c r="P295" s="12"/>
      <c r="Q295" s="12"/>
      <c r="R295" s="12" t="s">
        <v>1922</v>
      </c>
      <c r="S295" s="12" t="s">
        <v>2532</v>
      </c>
      <c r="T295"/>
    </row>
    <row r="296" spans="1:20" ht="117" customHeight="1" x14ac:dyDescent="0.25">
      <c r="A296" s="12" t="s">
        <v>2538</v>
      </c>
      <c r="B296" s="12" t="s">
        <v>140</v>
      </c>
      <c r="C296" s="12" t="s">
        <v>768</v>
      </c>
      <c r="D296" s="12" t="s">
        <v>252</v>
      </c>
      <c r="E296" s="12" t="s">
        <v>1862</v>
      </c>
      <c r="F296" s="12" t="s">
        <v>212</v>
      </c>
      <c r="G296" s="12" t="s">
        <v>2539</v>
      </c>
      <c r="H296" s="12"/>
      <c r="I296" s="12"/>
      <c r="J296" s="12" t="s">
        <v>2469</v>
      </c>
      <c r="K296" s="45">
        <v>45558</v>
      </c>
      <c r="L296" s="45">
        <v>45558</v>
      </c>
      <c r="M296" s="45">
        <v>45558</v>
      </c>
      <c r="N296" s="12" t="s">
        <v>59</v>
      </c>
      <c r="O296" s="12" t="s">
        <v>60</v>
      </c>
      <c r="P296" s="12"/>
      <c r="Q296" s="12"/>
      <c r="R296" s="12" t="s">
        <v>1886</v>
      </c>
      <c r="S296" s="12" t="s">
        <v>2540</v>
      </c>
      <c r="T296"/>
    </row>
    <row r="297" spans="1:20" ht="26.1" customHeight="1" x14ac:dyDescent="0.25">
      <c r="A297" s="12" t="s">
        <v>2541</v>
      </c>
      <c r="B297" s="12" t="s">
        <v>140</v>
      </c>
      <c r="C297" s="12" t="s">
        <v>141</v>
      </c>
      <c r="D297" s="12" t="s">
        <v>236</v>
      </c>
      <c r="E297" s="12" t="s">
        <v>1862</v>
      </c>
      <c r="F297" s="12" t="s">
        <v>56</v>
      </c>
      <c r="G297" s="12" t="s">
        <v>1870</v>
      </c>
      <c r="H297" s="12"/>
      <c r="I297" s="12"/>
      <c r="J297" s="12" t="s">
        <v>1867</v>
      </c>
      <c r="K297" s="45">
        <v>43634</v>
      </c>
      <c r="L297" s="45">
        <v>43634</v>
      </c>
      <c r="M297" s="45">
        <v>43635</v>
      </c>
      <c r="N297" s="12" t="s">
        <v>91</v>
      </c>
      <c r="O297" s="12" t="s">
        <v>60</v>
      </c>
      <c r="P297" s="12"/>
      <c r="Q297" s="12"/>
      <c r="R297" s="12" t="s">
        <v>1871</v>
      </c>
      <c r="S297" s="12"/>
      <c r="T297"/>
    </row>
    <row r="298" spans="1:20" ht="39" customHeight="1" x14ac:dyDescent="0.25">
      <c r="A298" s="12" t="s">
        <v>2542</v>
      </c>
      <c r="B298" s="12" t="s">
        <v>140</v>
      </c>
      <c r="C298" s="12" t="s">
        <v>768</v>
      </c>
      <c r="D298" s="12" t="s">
        <v>252</v>
      </c>
      <c r="E298" s="12" t="s">
        <v>1862</v>
      </c>
      <c r="F298" s="12" t="s">
        <v>212</v>
      </c>
      <c r="G298" s="12" t="s">
        <v>2543</v>
      </c>
      <c r="H298" s="12"/>
      <c r="I298" s="12"/>
      <c r="J298" s="12" t="s">
        <v>1885</v>
      </c>
      <c r="K298" s="45">
        <v>45558</v>
      </c>
      <c r="L298" s="45">
        <v>45558</v>
      </c>
      <c r="M298" s="45">
        <v>45558</v>
      </c>
      <c r="N298" s="12" t="s">
        <v>59</v>
      </c>
      <c r="O298" s="12" t="s">
        <v>60</v>
      </c>
      <c r="P298" s="12"/>
      <c r="Q298" s="12"/>
      <c r="R298" s="12" t="s">
        <v>1932</v>
      </c>
      <c r="S298" s="12" t="s">
        <v>2544</v>
      </c>
      <c r="T298"/>
    </row>
    <row r="299" spans="1:20" ht="39" customHeight="1" x14ac:dyDescent="0.25">
      <c r="A299" s="12" t="s">
        <v>2545</v>
      </c>
      <c r="B299" s="12" t="s">
        <v>140</v>
      </c>
      <c r="C299" s="12" t="s">
        <v>141</v>
      </c>
      <c r="D299" s="12" t="s">
        <v>228</v>
      </c>
      <c r="E299" s="12" t="s">
        <v>1862</v>
      </c>
      <c r="F299" s="12" t="s">
        <v>56</v>
      </c>
      <c r="G299" s="12" t="s">
        <v>2546</v>
      </c>
      <c r="H299" s="12"/>
      <c r="I299" s="12"/>
      <c r="J299" s="12"/>
      <c r="K299" s="45">
        <v>44495</v>
      </c>
      <c r="L299" s="45">
        <v>44495</v>
      </c>
      <c r="M299" s="45">
        <v>44501</v>
      </c>
      <c r="N299" s="12" t="s">
        <v>59</v>
      </c>
      <c r="O299" s="12" t="s">
        <v>60</v>
      </c>
      <c r="P299" s="12"/>
      <c r="Q299" s="12"/>
      <c r="R299" s="12" t="s">
        <v>1904</v>
      </c>
      <c r="S299" s="12" t="s">
        <v>2532</v>
      </c>
      <c r="T299"/>
    </row>
    <row r="300" spans="1:20" ht="104.1" customHeight="1" x14ac:dyDescent="0.25">
      <c r="A300" s="12" t="s">
        <v>2547</v>
      </c>
      <c r="B300" s="12" t="s">
        <v>140</v>
      </c>
      <c r="C300" s="12" t="s">
        <v>141</v>
      </c>
      <c r="D300" s="12" t="s">
        <v>224</v>
      </c>
      <c r="E300" s="12" t="s">
        <v>1862</v>
      </c>
      <c r="F300" s="12" t="s">
        <v>212</v>
      </c>
      <c r="G300" s="12" t="s">
        <v>2548</v>
      </c>
      <c r="H300" s="12"/>
      <c r="I300" s="12"/>
      <c r="J300" s="12" t="s">
        <v>1381</v>
      </c>
      <c r="K300" s="45">
        <v>44860</v>
      </c>
      <c r="L300" s="45">
        <v>44860</v>
      </c>
      <c r="M300" s="45">
        <v>44862</v>
      </c>
      <c r="N300" s="12" t="s">
        <v>59</v>
      </c>
      <c r="O300" s="12" t="s">
        <v>60</v>
      </c>
      <c r="P300" s="12"/>
      <c r="Q300" s="12"/>
      <c r="R300" s="12" t="s">
        <v>1981</v>
      </c>
      <c r="S300" s="12" t="s">
        <v>2518</v>
      </c>
      <c r="T300"/>
    </row>
    <row r="301" spans="1:20" ht="65.099999999999994" customHeight="1" x14ac:dyDescent="0.25">
      <c r="A301" s="12" t="s">
        <v>2549</v>
      </c>
      <c r="B301" s="12" t="s">
        <v>140</v>
      </c>
      <c r="C301" s="12" t="s">
        <v>141</v>
      </c>
      <c r="D301" s="12" t="s">
        <v>236</v>
      </c>
      <c r="E301" s="12" t="s">
        <v>1862</v>
      </c>
      <c r="F301" s="12" t="s">
        <v>56</v>
      </c>
      <c r="G301" s="12" t="s">
        <v>1866</v>
      </c>
      <c r="H301" s="12"/>
      <c r="I301" s="12"/>
      <c r="J301" s="12" t="s">
        <v>1867</v>
      </c>
      <c r="K301" s="45">
        <v>43634</v>
      </c>
      <c r="L301" s="45">
        <v>43634</v>
      </c>
      <c r="M301" s="45">
        <v>43635</v>
      </c>
      <c r="N301" s="12" t="s">
        <v>91</v>
      </c>
      <c r="O301" s="12" t="s">
        <v>60</v>
      </c>
      <c r="P301" s="12"/>
      <c r="Q301" s="12"/>
      <c r="R301" s="12" t="s">
        <v>1868</v>
      </c>
      <c r="S301" s="12"/>
      <c r="T301"/>
    </row>
    <row r="302" spans="1:20" ht="104.1" customHeight="1" x14ac:dyDescent="0.25">
      <c r="A302" s="12" t="s">
        <v>2550</v>
      </c>
      <c r="B302" s="12" t="s">
        <v>140</v>
      </c>
      <c r="C302" s="12" t="s">
        <v>141</v>
      </c>
      <c r="D302" s="12" t="s">
        <v>228</v>
      </c>
      <c r="E302" s="12" t="s">
        <v>1862</v>
      </c>
      <c r="F302" s="12" t="s">
        <v>56</v>
      </c>
      <c r="G302" s="12" t="s">
        <v>2551</v>
      </c>
      <c r="H302" s="12"/>
      <c r="I302" s="12"/>
      <c r="J302" s="12"/>
      <c r="K302" s="45">
        <v>44495</v>
      </c>
      <c r="L302" s="45">
        <v>44495</v>
      </c>
      <c r="M302" s="45">
        <v>44501</v>
      </c>
      <c r="N302" s="12" t="s">
        <v>91</v>
      </c>
      <c r="O302" s="12" t="s">
        <v>60</v>
      </c>
      <c r="P302" s="12"/>
      <c r="Q302" s="12"/>
      <c r="R302" s="12" t="s">
        <v>1868</v>
      </c>
      <c r="S302" s="12" t="s">
        <v>2532</v>
      </c>
      <c r="T302"/>
    </row>
    <row r="303" spans="1:20" ht="26.1" customHeight="1" x14ac:dyDescent="0.25">
      <c r="A303" s="12" t="s">
        <v>2552</v>
      </c>
      <c r="B303" s="12" t="s">
        <v>140</v>
      </c>
      <c r="C303" s="12" t="s">
        <v>141</v>
      </c>
      <c r="D303" s="12" t="s">
        <v>224</v>
      </c>
      <c r="E303" s="12" t="s">
        <v>1883</v>
      </c>
      <c r="F303" s="12" t="s">
        <v>212</v>
      </c>
      <c r="G303" s="12" t="s">
        <v>2553</v>
      </c>
      <c r="H303" s="12"/>
      <c r="I303" s="12"/>
      <c r="J303" s="12" t="s">
        <v>1381</v>
      </c>
      <c r="K303" s="45">
        <v>44926</v>
      </c>
      <c r="L303" s="45">
        <v>44789</v>
      </c>
      <c r="M303" s="45">
        <v>44792</v>
      </c>
      <c r="N303" s="12" t="s">
        <v>59</v>
      </c>
      <c r="O303" s="12" t="s">
        <v>60</v>
      </c>
      <c r="P303" s="12"/>
      <c r="Q303" s="12"/>
      <c r="R303" s="12"/>
      <c r="S303" s="12" t="s">
        <v>2554</v>
      </c>
      <c r="T303"/>
    </row>
    <row r="304" spans="1:20" ht="26.1" customHeight="1" x14ac:dyDescent="0.25">
      <c r="A304" s="12" t="s">
        <v>2555</v>
      </c>
      <c r="B304" s="12" t="s">
        <v>140</v>
      </c>
      <c r="C304" s="12" t="s">
        <v>768</v>
      </c>
      <c r="D304" s="12" t="s">
        <v>252</v>
      </c>
      <c r="E304" s="12" t="s">
        <v>1862</v>
      </c>
      <c r="F304" s="12" t="s">
        <v>56</v>
      </c>
      <c r="G304" s="12" t="s">
        <v>2556</v>
      </c>
      <c r="H304" s="12"/>
      <c r="I304" s="12"/>
      <c r="J304" s="12" t="s">
        <v>2330</v>
      </c>
      <c r="K304" s="45">
        <v>45453</v>
      </c>
      <c r="L304" s="45">
        <v>45453</v>
      </c>
      <c r="M304" s="45">
        <v>45453</v>
      </c>
      <c r="N304" s="12" t="s">
        <v>59</v>
      </c>
      <c r="O304" s="12" t="s">
        <v>60</v>
      </c>
      <c r="P304" s="12"/>
      <c r="Q304" s="12"/>
      <c r="R304" s="12" t="s">
        <v>1918</v>
      </c>
      <c r="S304" s="12" t="s">
        <v>2518</v>
      </c>
      <c r="T304"/>
    </row>
    <row r="305" spans="1:20" ht="51.95" customHeight="1" x14ac:dyDescent="0.25">
      <c r="A305" s="12" t="s">
        <v>2557</v>
      </c>
      <c r="B305" s="12" t="s">
        <v>140</v>
      </c>
      <c r="C305" s="12" t="s">
        <v>141</v>
      </c>
      <c r="D305" s="12" t="s">
        <v>224</v>
      </c>
      <c r="E305" s="12" t="s">
        <v>1862</v>
      </c>
      <c r="F305" s="12" t="s">
        <v>56</v>
      </c>
      <c r="G305" s="12" t="s">
        <v>2558</v>
      </c>
      <c r="H305" s="12"/>
      <c r="I305" s="12"/>
      <c r="J305" s="12" t="s">
        <v>90</v>
      </c>
      <c r="K305" s="45">
        <v>44860</v>
      </c>
      <c r="L305" s="45">
        <v>44860</v>
      </c>
      <c r="M305" s="45">
        <v>44862</v>
      </c>
      <c r="N305" s="12" t="s">
        <v>91</v>
      </c>
      <c r="O305" s="12" t="s">
        <v>60</v>
      </c>
      <c r="P305" s="12"/>
      <c r="Q305" s="12"/>
      <c r="R305" s="12" t="s">
        <v>1938</v>
      </c>
      <c r="S305" s="12" t="s">
        <v>2523</v>
      </c>
      <c r="T305"/>
    </row>
    <row r="306" spans="1:20" ht="65.099999999999994" customHeight="1" x14ac:dyDescent="0.25">
      <c r="A306" s="12" t="s">
        <v>2559</v>
      </c>
      <c r="B306" s="12" t="s">
        <v>140</v>
      </c>
      <c r="C306" s="12" t="s">
        <v>768</v>
      </c>
      <c r="D306" s="12" t="s">
        <v>252</v>
      </c>
      <c r="E306" s="12" t="s">
        <v>1862</v>
      </c>
      <c r="F306" s="12" t="s">
        <v>212</v>
      </c>
      <c r="G306" s="12" t="s">
        <v>2560</v>
      </c>
      <c r="H306" s="12"/>
      <c r="I306" s="12"/>
      <c r="J306" s="12" t="s">
        <v>1885</v>
      </c>
      <c r="K306" s="45">
        <v>45558</v>
      </c>
      <c r="L306" s="45">
        <v>45558</v>
      </c>
      <c r="M306" s="45">
        <v>45558</v>
      </c>
      <c r="N306" s="12" t="s">
        <v>59</v>
      </c>
      <c r="O306" s="12" t="s">
        <v>60</v>
      </c>
      <c r="P306" s="12"/>
      <c r="Q306" s="12"/>
      <c r="R306" s="12" t="s">
        <v>1942</v>
      </c>
      <c r="S306" s="12" t="s">
        <v>2540</v>
      </c>
      <c r="T306"/>
    </row>
    <row r="307" spans="1:20" ht="78" customHeight="1" x14ac:dyDescent="0.25">
      <c r="A307" s="12" t="s">
        <v>2561</v>
      </c>
      <c r="B307" s="12" t="s">
        <v>143</v>
      </c>
      <c r="C307" s="12" t="s">
        <v>144</v>
      </c>
      <c r="D307" s="12" t="s">
        <v>220</v>
      </c>
      <c r="E307" s="12" t="s">
        <v>1862</v>
      </c>
      <c r="F307" s="12" t="s">
        <v>56</v>
      </c>
      <c r="G307" s="12" t="s">
        <v>2562</v>
      </c>
      <c r="H307" s="12"/>
      <c r="I307" s="12"/>
      <c r="J307" s="12" t="s">
        <v>1381</v>
      </c>
      <c r="K307" s="45">
        <v>45103</v>
      </c>
      <c r="L307" s="45">
        <v>45103</v>
      </c>
      <c r="M307" s="45">
        <v>45133</v>
      </c>
      <c r="N307" s="12" t="s">
        <v>59</v>
      </c>
      <c r="O307" s="12" t="s">
        <v>60</v>
      </c>
      <c r="P307" s="12"/>
      <c r="Q307" s="12"/>
      <c r="R307" s="12" t="s">
        <v>1986</v>
      </c>
      <c r="S307" s="12"/>
      <c r="T307"/>
    </row>
    <row r="308" spans="1:20" ht="129.94999999999999" customHeight="1" x14ac:dyDescent="0.25">
      <c r="A308" s="12" t="s">
        <v>2563</v>
      </c>
      <c r="B308" s="12" t="s">
        <v>143</v>
      </c>
      <c r="C308" s="12" t="s">
        <v>144</v>
      </c>
      <c r="D308" s="12" t="s">
        <v>220</v>
      </c>
      <c r="E308" s="12" t="s">
        <v>1862</v>
      </c>
      <c r="F308" s="12" t="s">
        <v>56</v>
      </c>
      <c r="G308" s="12" t="s">
        <v>2564</v>
      </c>
      <c r="H308" s="12"/>
      <c r="I308" s="12"/>
      <c r="J308" s="12" t="s">
        <v>1381</v>
      </c>
      <c r="K308" s="45">
        <v>45103</v>
      </c>
      <c r="L308" s="45">
        <v>45103</v>
      </c>
      <c r="M308" s="45">
        <v>45103</v>
      </c>
      <c r="N308" s="12" t="s">
        <v>59</v>
      </c>
      <c r="O308" s="12" t="s">
        <v>60</v>
      </c>
      <c r="P308" s="12"/>
      <c r="Q308" s="12"/>
      <c r="R308" s="12" t="s">
        <v>1981</v>
      </c>
      <c r="S308" s="12"/>
      <c r="T308"/>
    </row>
    <row r="309" spans="1:20" ht="39" customHeight="1" x14ac:dyDescent="0.25">
      <c r="A309" s="12" t="s">
        <v>2565</v>
      </c>
      <c r="B309" s="12" t="s">
        <v>143</v>
      </c>
      <c r="C309" s="12" t="s">
        <v>144</v>
      </c>
      <c r="D309" s="12" t="s">
        <v>220</v>
      </c>
      <c r="E309" s="12" t="s">
        <v>1862</v>
      </c>
      <c r="F309" s="12" t="s">
        <v>56</v>
      </c>
      <c r="G309" s="12" t="s">
        <v>2566</v>
      </c>
      <c r="H309" s="12"/>
      <c r="I309" s="12"/>
      <c r="J309" s="12" t="s">
        <v>1381</v>
      </c>
      <c r="K309" s="45">
        <v>45103</v>
      </c>
      <c r="L309" s="45">
        <v>45103</v>
      </c>
      <c r="M309" s="45">
        <v>45103</v>
      </c>
      <c r="N309" s="12" t="s">
        <v>59</v>
      </c>
      <c r="O309" s="12" t="s">
        <v>60</v>
      </c>
      <c r="P309" s="12"/>
      <c r="Q309" s="12"/>
      <c r="R309" s="12" t="s">
        <v>1978</v>
      </c>
      <c r="S309" s="12"/>
      <c r="T309"/>
    </row>
    <row r="310" spans="1:20" ht="39" customHeight="1" x14ac:dyDescent="0.25">
      <c r="A310" s="12" t="s">
        <v>2567</v>
      </c>
      <c r="B310" s="12" t="s">
        <v>143</v>
      </c>
      <c r="C310" s="12" t="s">
        <v>144</v>
      </c>
      <c r="D310" s="12" t="s">
        <v>220</v>
      </c>
      <c r="E310" s="12" t="s">
        <v>1862</v>
      </c>
      <c r="F310" s="12" t="s">
        <v>56</v>
      </c>
      <c r="G310" s="12" t="s">
        <v>2568</v>
      </c>
      <c r="H310" s="12"/>
      <c r="I310" s="12"/>
      <c r="J310" s="12" t="s">
        <v>1381</v>
      </c>
      <c r="K310" s="45">
        <v>45103</v>
      </c>
      <c r="L310" s="45">
        <v>45103</v>
      </c>
      <c r="M310" s="45">
        <v>45103</v>
      </c>
      <c r="N310" s="12" t="s">
        <v>59</v>
      </c>
      <c r="O310" s="12" t="s">
        <v>60</v>
      </c>
      <c r="P310" s="12"/>
      <c r="Q310" s="12"/>
      <c r="R310" s="12" t="s">
        <v>1975</v>
      </c>
      <c r="S310" s="12"/>
      <c r="T310"/>
    </row>
    <row r="311" spans="1:20" ht="78" customHeight="1" x14ac:dyDescent="0.25">
      <c r="A311" s="12" t="s">
        <v>2569</v>
      </c>
      <c r="B311" s="12" t="s">
        <v>143</v>
      </c>
      <c r="C311" s="12" t="s">
        <v>144</v>
      </c>
      <c r="D311" s="12" t="s">
        <v>220</v>
      </c>
      <c r="E311" s="12" t="s">
        <v>1862</v>
      </c>
      <c r="F311" s="12" t="s">
        <v>56</v>
      </c>
      <c r="G311" s="12" t="s">
        <v>2570</v>
      </c>
      <c r="H311" s="12"/>
      <c r="I311" s="12"/>
      <c r="J311" s="12" t="s">
        <v>1381</v>
      </c>
      <c r="K311" s="45">
        <v>45103</v>
      </c>
      <c r="L311" s="45">
        <v>45103</v>
      </c>
      <c r="M311" s="45">
        <v>45103</v>
      </c>
      <c r="N311" s="12" t="s">
        <v>59</v>
      </c>
      <c r="O311" s="12" t="s">
        <v>60</v>
      </c>
      <c r="P311" s="12"/>
      <c r="Q311" s="12"/>
      <c r="R311" s="12" t="s">
        <v>1968</v>
      </c>
      <c r="S311" s="12"/>
      <c r="T311"/>
    </row>
    <row r="312" spans="1:20" ht="104.1" customHeight="1" x14ac:dyDescent="0.25">
      <c r="A312" s="12" t="s">
        <v>2571</v>
      </c>
      <c r="B312" s="12" t="s">
        <v>143</v>
      </c>
      <c r="C312" s="12" t="s">
        <v>144</v>
      </c>
      <c r="D312" s="12" t="s">
        <v>220</v>
      </c>
      <c r="E312" s="12" t="s">
        <v>1862</v>
      </c>
      <c r="F312" s="12" t="s">
        <v>56</v>
      </c>
      <c r="G312" s="12" t="s">
        <v>2572</v>
      </c>
      <c r="H312" s="12"/>
      <c r="I312" s="12"/>
      <c r="J312" s="12" t="s">
        <v>1381</v>
      </c>
      <c r="K312" s="45">
        <v>45103</v>
      </c>
      <c r="L312" s="45">
        <v>45103</v>
      </c>
      <c r="M312" s="45">
        <v>45103</v>
      </c>
      <c r="N312" s="12" t="s">
        <v>59</v>
      </c>
      <c r="O312" s="12" t="s">
        <v>60</v>
      </c>
      <c r="P312" s="12"/>
      <c r="Q312" s="12"/>
      <c r="R312" s="12" t="s">
        <v>2573</v>
      </c>
      <c r="S312" s="12"/>
      <c r="T312"/>
    </row>
    <row r="313" spans="1:20" ht="65.099999999999994" customHeight="1" x14ac:dyDescent="0.25">
      <c r="A313" s="12" t="s">
        <v>2574</v>
      </c>
      <c r="B313" s="12" t="s">
        <v>143</v>
      </c>
      <c r="C313" s="12" t="s">
        <v>144</v>
      </c>
      <c r="D313" s="12" t="s">
        <v>220</v>
      </c>
      <c r="E313" s="12" t="s">
        <v>1862</v>
      </c>
      <c r="F313" s="12" t="s">
        <v>56</v>
      </c>
      <c r="G313" s="12" t="s">
        <v>2575</v>
      </c>
      <c r="H313" s="12"/>
      <c r="I313" s="12"/>
      <c r="J313" s="12" t="s">
        <v>1381</v>
      </c>
      <c r="K313" s="45">
        <v>45103</v>
      </c>
      <c r="L313" s="45">
        <v>45103</v>
      </c>
      <c r="M313" s="45">
        <v>45103</v>
      </c>
      <c r="N313" s="12" t="s">
        <v>59</v>
      </c>
      <c r="O313" s="12" t="s">
        <v>60</v>
      </c>
      <c r="P313" s="12"/>
      <c r="Q313" s="12"/>
      <c r="R313" s="12" t="s">
        <v>1910</v>
      </c>
      <c r="S313" s="12"/>
      <c r="T313"/>
    </row>
    <row r="314" spans="1:20" ht="104.1" customHeight="1" x14ac:dyDescent="0.25">
      <c r="A314" s="12" t="s">
        <v>2576</v>
      </c>
      <c r="B314" s="12" t="s">
        <v>143</v>
      </c>
      <c r="C314" s="12" t="s">
        <v>144</v>
      </c>
      <c r="D314" s="12" t="s">
        <v>252</v>
      </c>
      <c r="E314" s="12" t="s">
        <v>1862</v>
      </c>
      <c r="F314" s="12" t="s">
        <v>212</v>
      </c>
      <c r="G314" s="12" t="s">
        <v>2577</v>
      </c>
      <c r="H314" s="12"/>
      <c r="I314" s="12"/>
      <c r="J314" s="12" t="s">
        <v>2272</v>
      </c>
      <c r="K314" s="45">
        <v>45565</v>
      </c>
      <c r="L314" s="45">
        <v>45565</v>
      </c>
      <c r="M314" s="45">
        <v>45565</v>
      </c>
      <c r="N314" s="12" t="s">
        <v>59</v>
      </c>
      <c r="O314" s="12" t="s">
        <v>60</v>
      </c>
      <c r="P314" s="12"/>
      <c r="Q314" s="12"/>
      <c r="R314" s="12" t="s">
        <v>1963</v>
      </c>
      <c r="S314" s="12"/>
      <c r="T314"/>
    </row>
    <row r="315" spans="1:20" ht="182.1" customHeight="1" x14ac:dyDescent="0.25">
      <c r="A315" s="12" t="s">
        <v>2578</v>
      </c>
      <c r="B315" s="12" t="s">
        <v>143</v>
      </c>
      <c r="C315" s="12" t="s">
        <v>144</v>
      </c>
      <c r="D315" s="12" t="s">
        <v>252</v>
      </c>
      <c r="E315" s="12" t="s">
        <v>1862</v>
      </c>
      <c r="F315" s="12" t="s">
        <v>1307</v>
      </c>
      <c r="G315" s="12" t="s">
        <v>2579</v>
      </c>
      <c r="H315" s="12" t="s">
        <v>2580</v>
      </c>
      <c r="I315" s="12"/>
      <c r="J315" s="12" t="s">
        <v>2131</v>
      </c>
      <c r="K315" s="45">
        <v>45376</v>
      </c>
      <c r="L315" s="45">
        <v>45376</v>
      </c>
      <c r="M315" s="45">
        <v>45376</v>
      </c>
      <c r="N315" s="12" t="s">
        <v>59</v>
      </c>
      <c r="O315" s="12" t="s">
        <v>60</v>
      </c>
      <c r="P315" s="12"/>
      <c r="Q315" s="12"/>
      <c r="R315" s="12" t="s">
        <v>1932</v>
      </c>
      <c r="S315" s="12"/>
      <c r="T315"/>
    </row>
    <row r="316" spans="1:20" ht="129.94999999999999" customHeight="1" x14ac:dyDescent="0.25">
      <c r="A316" s="12" t="s">
        <v>2581</v>
      </c>
      <c r="B316" s="12" t="s">
        <v>143</v>
      </c>
      <c r="C316" s="12" t="s">
        <v>144</v>
      </c>
      <c r="D316" s="12" t="s">
        <v>252</v>
      </c>
      <c r="E316" s="12" t="s">
        <v>1862</v>
      </c>
      <c r="F316" s="12" t="s">
        <v>1204</v>
      </c>
      <c r="G316" s="12" t="s">
        <v>2582</v>
      </c>
      <c r="H316" s="12"/>
      <c r="I316" s="12"/>
      <c r="J316" s="12"/>
      <c r="K316" s="45">
        <v>45657</v>
      </c>
      <c r="L316" s="45">
        <v>45467</v>
      </c>
      <c r="M316" s="45">
        <v>45467</v>
      </c>
      <c r="N316" s="12" t="s">
        <v>59</v>
      </c>
      <c r="O316" s="12" t="s">
        <v>60</v>
      </c>
      <c r="P316" s="12"/>
      <c r="Q316" s="12"/>
      <c r="R316" s="12" t="s">
        <v>1942</v>
      </c>
      <c r="S316" s="12" t="s">
        <v>2583</v>
      </c>
      <c r="T316"/>
    </row>
    <row r="317" spans="1:20" ht="234" customHeight="1" x14ac:dyDescent="0.25">
      <c r="A317" s="12" t="s">
        <v>2584</v>
      </c>
      <c r="B317" s="12" t="s">
        <v>143</v>
      </c>
      <c r="C317" s="12" t="s">
        <v>144</v>
      </c>
      <c r="D317" s="12" t="s">
        <v>252</v>
      </c>
      <c r="E317" s="12" t="s">
        <v>1862</v>
      </c>
      <c r="F317" s="12" t="s">
        <v>56</v>
      </c>
      <c r="G317" s="12" t="s">
        <v>2585</v>
      </c>
      <c r="H317" s="12"/>
      <c r="I317" s="12"/>
      <c r="J317" s="12" t="s">
        <v>1885</v>
      </c>
      <c r="K317" s="45">
        <v>45376</v>
      </c>
      <c r="L317" s="45">
        <v>45376</v>
      </c>
      <c r="M317" s="45">
        <v>45010</v>
      </c>
      <c r="N317" s="12" t="s">
        <v>59</v>
      </c>
      <c r="O317" s="12" t="s">
        <v>60</v>
      </c>
      <c r="P317" s="12"/>
      <c r="Q317" s="12"/>
      <c r="R317" s="12" t="s">
        <v>1886</v>
      </c>
      <c r="S317" s="12" t="s">
        <v>2586</v>
      </c>
      <c r="T317"/>
    </row>
    <row r="318" spans="1:20" ht="207.95" customHeight="1" x14ac:dyDescent="0.25">
      <c r="A318" s="12" t="s">
        <v>2587</v>
      </c>
      <c r="B318" s="12" t="s">
        <v>143</v>
      </c>
      <c r="C318" s="12" t="s">
        <v>144</v>
      </c>
      <c r="D318" s="12" t="s">
        <v>252</v>
      </c>
      <c r="E318" s="12" t="s">
        <v>1862</v>
      </c>
      <c r="F318" s="12" t="s">
        <v>56</v>
      </c>
      <c r="G318" s="12" t="s">
        <v>2585</v>
      </c>
      <c r="H318" s="12"/>
      <c r="I318" s="12"/>
      <c r="J318" s="12"/>
      <c r="K318" s="45">
        <v>45467</v>
      </c>
      <c r="L318" s="45">
        <v>45467</v>
      </c>
      <c r="M318" s="45">
        <v>45467</v>
      </c>
      <c r="N318" s="12" t="s">
        <v>59</v>
      </c>
      <c r="O318" s="12" t="s">
        <v>60</v>
      </c>
      <c r="P318" s="12"/>
      <c r="Q318" s="12"/>
      <c r="R318" s="12" t="s">
        <v>1886</v>
      </c>
      <c r="S318" s="12"/>
      <c r="T318"/>
    </row>
    <row r="319" spans="1:20" ht="104.1" customHeight="1" x14ac:dyDescent="0.25">
      <c r="A319" s="12" t="s">
        <v>2588</v>
      </c>
      <c r="B319" s="12" t="s">
        <v>143</v>
      </c>
      <c r="C319" s="12" t="s">
        <v>144</v>
      </c>
      <c r="D319" s="12" t="s">
        <v>220</v>
      </c>
      <c r="E319" s="12" t="s">
        <v>1862</v>
      </c>
      <c r="F319" s="12" t="s">
        <v>56</v>
      </c>
      <c r="G319" s="12" t="s">
        <v>2589</v>
      </c>
      <c r="H319" s="12"/>
      <c r="I319" s="12"/>
      <c r="J319" s="12" t="s">
        <v>1381</v>
      </c>
      <c r="K319" s="45">
        <v>45103</v>
      </c>
      <c r="L319" s="45">
        <v>45103</v>
      </c>
      <c r="M319" s="45">
        <v>45103</v>
      </c>
      <c r="N319" s="12" t="s">
        <v>59</v>
      </c>
      <c r="O319" s="12" t="s">
        <v>60</v>
      </c>
      <c r="P319" s="12"/>
      <c r="Q319" s="12"/>
      <c r="R319" s="12" t="s">
        <v>1900</v>
      </c>
      <c r="S319" s="12"/>
      <c r="T319"/>
    </row>
    <row r="320" spans="1:20" ht="78" customHeight="1" x14ac:dyDescent="0.25">
      <c r="A320" s="12" t="s">
        <v>2590</v>
      </c>
      <c r="B320" s="12" t="s">
        <v>143</v>
      </c>
      <c r="C320" s="12" t="s">
        <v>144</v>
      </c>
      <c r="D320" s="12" t="s">
        <v>228</v>
      </c>
      <c r="E320" s="12" t="s">
        <v>1862</v>
      </c>
      <c r="F320" s="12" t="s">
        <v>212</v>
      </c>
      <c r="G320" s="12" t="s">
        <v>2591</v>
      </c>
      <c r="H320" s="12"/>
      <c r="I320" s="12"/>
      <c r="J320" s="12" t="s">
        <v>2330</v>
      </c>
      <c r="K320" s="45">
        <v>44375</v>
      </c>
      <c r="L320" s="45">
        <v>44375</v>
      </c>
      <c r="M320" s="45">
        <v>44375</v>
      </c>
      <c r="N320" s="12" t="s">
        <v>59</v>
      </c>
      <c r="O320" s="12" t="s">
        <v>60</v>
      </c>
      <c r="P320" s="12"/>
      <c r="Q320" s="12"/>
      <c r="R320" s="12" t="s">
        <v>1874</v>
      </c>
      <c r="S320" s="12"/>
      <c r="T320"/>
    </row>
    <row r="321" spans="1:20" ht="65.099999999999994" customHeight="1" x14ac:dyDescent="0.25">
      <c r="A321" s="12" t="s">
        <v>2592</v>
      </c>
      <c r="B321" s="12" t="s">
        <v>143</v>
      </c>
      <c r="C321" s="12" t="s">
        <v>144</v>
      </c>
      <c r="D321" s="12" t="s">
        <v>232</v>
      </c>
      <c r="E321" s="12" t="s">
        <v>1862</v>
      </c>
      <c r="F321" s="12" t="s">
        <v>56</v>
      </c>
      <c r="G321" s="12" t="s">
        <v>2593</v>
      </c>
      <c r="H321" s="12"/>
      <c r="I321" s="12"/>
      <c r="J321" s="12" t="s">
        <v>1867</v>
      </c>
      <c r="K321" s="45">
        <v>44019</v>
      </c>
      <c r="L321" s="45">
        <v>44011</v>
      </c>
      <c r="M321" s="45">
        <v>44019</v>
      </c>
      <c r="N321" s="12" t="s">
        <v>91</v>
      </c>
      <c r="O321" s="12" t="s">
        <v>60</v>
      </c>
      <c r="P321" s="12"/>
      <c r="Q321" s="12"/>
      <c r="R321" s="12" t="s">
        <v>1871</v>
      </c>
      <c r="S321" s="12"/>
      <c r="T321"/>
    </row>
    <row r="322" spans="1:20" ht="129.94999999999999" customHeight="1" x14ac:dyDescent="0.25">
      <c r="A322" s="12" t="s">
        <v>2594</v>
      </c>
      <c r="B322" s="12" t="s">
        <v>143</v>
      </c>
      <c r="C322" s="12" t="s">
        <v>144</v>
      </c>
      <c r="D322" s="12" t="s">
        <v>228</v>
      </c>
      <c r="E322" s="12" t="s">
        <v>1862</v>
      </c>
      <c r="F322" s="12" t="s">
        <v>56</v>
      </c>
      <c r="G322" s="12" t="s">
        <v>2595</v>
      </c>
      <c r="H322" s="12"/>
      <c r="I322" s="12"/>
      <c r="J322" s="12" t="s">
        <v>2330</v>
      </c>
      <c r="K322" s="45">
        <v>44375</v>
      </c>
      <c r="L322" s="45">
        <v>44375</v>
      </c>
      <c r="M322" s="45">
        <v>44375</v>
      </c>
      <c r="N322" s="12" t="s">
        <v>59</v>
      </c>
      <c r="O322" s="12" t="s">
        <v>60</v>
      </c>
      <c r="P322" s="12"/>
      <c r="Q322" s="12"/>
      <c r="R322" s="12" t="s">
        <v>1877</v>
      </c>
      <c r="S322" s="12"/>
      <c r="T322"/>
    </row>
    <row r="323" spans="1:20" ht="39" customHeight="1" x14ac:dyDescent="0.25">
      <c r="A323" s="12" t="s">
        <v>2596</v>
      </c>
      <c r="B323" s="12" t="s">
        <v>143</v>
      </c>
      <c r="C323" s="12" t="s">
        <v>144</v>
      </c>
      <c r="D323" s="12" t="s">
        <v>220</v>
      </c>
      <c r="E323" s="12" t="s">
        <v>1862</v>
      </c>
      <c r="F323" s="12" t="s">
        <v>56</v>
      </c>
      <c r="G323" s="12" t="s">
        <v>2597</v>
      </c>
      <c r="H323" s="12"/>
      <c r="I323" s="12"/>
      <c r="J323" s="12"/>
      <c r="K323" s="45">
        <v>45103</v>
      </c>
      <c r="L323" s="45">
        <v>45103</v>
      </c>
      <c r="M323" s="45">
        <v>45103</v>
      </c>
      <c r="N323" s="12" t="s">
        <v>59</v>
      </c>
      <c r="O323" s="12" t="s">
        <v>60</v>
      </c>
      <c r="P323" s="12"/>
      <c r="Q323" s="12"/>
      <c r="R323" s="12" t="s">
        <v>1904</v>
      </c>
      <c r="S323" s="12"/>
      <c r="T323"/>
    </row>
    <row r="324" spans="1:20" ht="78" customHeight="1" x14ac:dyDescent="0.25">
      <c r="A324" s="12" t="s">
        <v>2598</v>
      </c>
      <c r="B324" s="12" t="s">
        <v>143</v>
      </c>
      <c r="C324" s="12" t="s">
        <v>144</v>
      </c>
      <c r="D324" s="12" t="s">
        <v>232</v>
      </c>
      <c r="E324" s="12" t="s">
        <v>1862</v>
      </c>
      <c r="F324" s="12" t="s">
        <v>56</v>
      </c>
      <c r="G324" s="12" t="s">
        <v>2599</v>
      </c>
      <c r="H324" s="12"/>
      <c r="I324" s="12"/>
      <c r="J324" s="12" t="s">
        <v>1867</v>
      </c>
      <c r="K324" s="45">
        <v>44019</v>
      </c>
      <c r="L324" s="45">
        <v>44011</v>
      </c>
      <c r="M324" s="45">
        <v>44019</v>
      </c>
      <c r="N324" s="12" t="s">
        <v>59</v>
      </c>
      <c r="O324" s="12" t="s">
        <v>60</v>
      </c>
      <c r="P324" s="12"/>
      <c r="Q324" s="12"/>
      <c r="R324" s="12" t="s">
        <v>1874</v>
      </c>
      <c r="S324" s="12"/>
      <c r="T324"/>
    </row>
    <row r="325" spans="1:20" ht="78" customHeight="1" x14ac:dyDescent="0.25">
      <c r="A325" s="12" t="s">
        <v>2600</v>
      </c>
      <c r="B325" s="12" t="s">
        <v>143</v>
      </c>
      <c r="C325" s="12" t="s">
        <v>144</v>
      </c>
      <c r="D325" s="12" t="s">
        <v>228</v>
      </c>
      <c r="E325" s="12" t="s">
        <v>1862</v>
      </c>
      <c r="F325" s="12" t="s">
        <v>56</v>
      </c>
      <c r="G325" s="12" t="s">
        <v>2601</v>
      </c>
      <c r="H325" s="12"/>
      <c r="I325" s="12"/>
      <c r="J325" s="12"/>
      <c r="K325" s="45">
        <v>44375</v>
      </c>
      <c r="L325" s="45">
        <v>44375</v>
      </c>
      <c r="M325" s="45">
        <v>44375</v>
      </c>
      <c r="N325" s="12" t="s">
        <v>91</v>
      </c>
      <c r="O325" s="12" t="s">
        <v>60</v>
      </c>
      <c r="P325" s="12"/>
      <c r="Q325" s="12"/>
      <c r="R325" s="12" t="s">
        <v>1904</v>
      </c>
      <c r="S325" s="12"/>
      <c r="T325"/>
    </row>
    <row r="326" spans="1:20" ht="104.1" customHeight="1" x14ac:dyDescent="0.25">
      <c r="A326" s="12" t="s">
        <v>2602</v>
      </c>
      <c r="B326" s="12" t="s">
        <v>143</v>
      </c>
      <c r="C326" s="12" t="s">
        <v>144</v>
      </c>
      <c r="D326" s="12" t="s">
        <v>232</v>
      </c>
      <c r="E326" s="12" t="s">
        <v>1862</v>
      </c>
      <c r="F326" s="12" t="s">
        <v>56</v>
      </c>
      <c r="G326" s="12" t="s">
        <v>2603</v>
      </c>
      <c r="H326" s="12"/>
      <c r="I326" s="12"/>
      <c r="J326" s="12" t="s">
        <v>1867</v>
      </c>
      <c r="K326" s="45">
        <v>44019</v>
      </c>
      <c r="L326" s="45">
        <v>44011</v>
      </c>
      <c r="M326" s="45">
        <v>44019</v>
      </c>
      <c r="N326" s="12" t="s">
        <v>59</v>
      </c>
      <c r="O326" s="12" t="s">
        <v>60</v>
      </c>
      <c r="P326" s="12"/>
      <c r="Q326" s="12"/>
      <c r="R326" s="12" t="s">
        <v>1877</v>
      </c>
      <c r="S326" s="12"/>
      <c r="T326"/>
    </row>
    <row r="327" spans="1:20" ht="104.1" customHeight="1" x14ac:dyDescent="0.25">
      <c r="A327" s="12" t="s">
        <v>2604</v>
      </c>
      <c r="B327" s="12" t="s">
        <v>143</v>
      </c>
      <c r="C327" s="12" t="s">
        <v>144</v>
      </c>
      <c r="D327" s="12" t="s">
        <v>228</v>
      </c>
      <c r="E327" s="12" t="s">
        <v>1862</v>
      </c>
      <c r="F327" s="12" t="s">
        <v>212</v>
      </c>
      <c r="G327" s="12" t="s">
        <v>2605</v>
      </c>
      <c r="H327" s="12"/>
      <c r="I327" s="12"/>
      <c r="J327" s="12"/>
      <c r="K327" s="45">
        <v>44375</v>
      </c>
      <c r="L327" s="45">
        <v>44375</v>
      </c>
      <c r="M327" s="45">
        <v>44375</v>
      </c>
      <c r="N327" s="12" t="s">
        <v>59</v>
      </c>
      <c r="O327" s="12" t="s">
        <v>60</v>
      </c>
      <c r="P327" s="12"/>
      <c r="Q327" s="12"/>
      <c r="R327" s="12" t="s">
        <v>1938</v>
      </c>
      <c r="S327" s="12"/>
      <c r="T327"/>
    </row>
    <row r="328" spans="1:20" ht="65.099999999999994" customHeight="1" x14ac:dyDescent="0.25">
      <c r="A328" s="12" t="s">
        <v>2606</v>
      </c>
      <c r="B328" s="12" t="s">
        <v>143</v>
      </c>
      <c r="C328" s="12" t="s">
        <v>144</v>
      </c>
      <c r="D328" s="12" t="s">
        <v>228</v>
      </c>
      <c r="E328" s="12" t="s">
        <v>1862</v>
      </c>
      <c r="F328" s="12" t="s">
        <v>1167</v>
      </c>
      <c r="G328" s="12" t="s">
        <v>2607</v>
      </c>
      <c r="H328" s="12"/>
      <c r="I328" s="12"/>
      <c r="J328" s="12" t="s">
        <v>2330</v>
      </c>
      <c r="K328" s="45">
        <v>44375</v>
      </c>
      <c r="L328" s="45">
        <v>44375</v>
      </c>
      <c r="M328" s="45">
        <v>44375</v>
      </c>
      <c r="N328" s="12" t="s">
        <v>59</v>
      </c>
      <c r="O328" s="12" t="s">
        <v>60</v>
      </c>
      <c r="P328" s="12"/>
      <c r="Q328" s="12"/>
      <c r="R328" s="12" t="s">
        <v>1868</v>
      </c>
      <c r="S328" s="12"/>
      <c r="T328"/>
    </row>
    <row r="329" spans="1:20" ht="39" customHeight="1" x14ac:dyDescent="0.25">
      <c r="A329" s="12" t="s">
        <v>2608</v>
      </c>
      <c r="B329" s="12" t="s">
        <v>143</v>
      </c>
      <c r="C329" s="12" t="s">
        <v>144</v>
      </c>
      <c r="D329" s="12" t="s">
        <v>232</v>
      </c>
      <c r="E329" s="12" t="s">
        <v>1862</v>
      </c>
      <c r="F329" s="12" t="s">
        <v>56</v>
      </c>
      <c r="G329" s="12" t="s">
        <v>2609</v>
      </c>
      <c r="H329" s="12"/>
      <c r="I329" s="12"/>
      <c r="J329" s="12" t="s">
        <v>1867</v>
      </c>
      <c r="K329" s="45">
        <v>44019</v>
      </c>
      <c r="L329" s="45">
        <v>44011</v>
      </c>
      <c r="M329" s="45">
        <v>44019</v>
      </c>
      <c r="N329" s="12" t="s">
        <v>59</v>
      </c>
      <c r="O329" s="12" t="s">
        <v>60</v>
      </c>
      <c r="P329" s="12"/>
      <c r="Q329" s="12"/>
      <c r="R329" s="12" t="s">
        <v>1868</v>
      </c>
      <c r="S329" s="12"/>
      <c r="T329"/>
    </row>
    <row r="330" spans="1:20" ht="78" customHeight="1" x14ac:dyDescent="0.25">
      <c r="A330" s="12" t="s">
        <v>2610</v>
      </c>
      <c r="B330" s="12" t="s">
        <v>143</v>
      </c>
      <c r="C330" s="12" t="s">
        <v>144</v>
      </c>
      <c r="D330" s="12" t="s">
        <v>220</v>
      </c>
      <c r="E330" s="12" t="s">
        <v>1862</v>
      </c>
      <c r="F330" s="12" t="s">
        <v>212</v>
      </c>
      <c r="G330" s="12" t="s">
        <v>2611</v>
      </c>
      <c r="H330" s="12"/>
      <c r="I330" s="12"/>
      <c r="J330" s="12" t="s">
        <v>1381</v>
      </c>
      <c r="K330" s="45">
        <v>45103</v>
      </c>
      <c r="L330" s="45">
        <v>45103</v>
      </c>
      <c r="M330" s="45">
        <v>45103</v>
      </c>
      <c r="N330" s="12" t="s">
        <v>59</v>
      </c>
      <c r="O330" s="12" t="s">
        <v>60</v>
      </c>
      <c r="P330" s="12"/>
      <c r="Q330" s="12"/>
      <c r="R330" s="12" t="s">
        <v>1956</v>
      </c>
      <c r="S330" s="12"/>
      <c r="T330"/>
    </row>
    <row r="331" spans="1:20" ht="104.1" customHeight="1" x14ac:dyDescent="0.25">
      <c r="A331" s="12" t="s">
        <v>2612</v>
      </c>
      <c r="B331" s="12" t="s">
        <v>147</v>
      </c>
      <c r="C331" s="12" t="s">
        <v>148</v>
      </c>
      <c r="D331" s="12" t="s">
        <v>224</v>
      </c>
      <c r="E331" s="12" t="s">
        <v>1883</v>
      </c>
      <c r="F331" s="12" t="s">
        <v>56</v>
      </c>
      <c r="G331" s="12" t="s">
        <v>2613</v>
      </c>
      <c r="H331" s="12" t="s">
        <v>2614</v>
      </c>
      <c r="I331" s="12"/>
      <c r="J331" s="12" t="s">
        <v>1381</v>
      </c>
      <c r="K331" s="45">
        <v>44873</v>
      </c>
      <c r="L331" s="45">
        <v>44873</v>
      </c>
      <c r="M331" s="45">
        <v>44911</v>
      </c>
      <c r="N331" s="12" t="s">
        <v>59</v>
      </c>
      <c r="O331" s="12" t="s">
        <v>60</v>
      </c>
      <c r="P331" s="12"/>
      <c r="Q331" s="12"/>
      <c r="R331" s="12" t="s">
        <v>1910</v>
      </c>
      <c r="S331" s="12"/>
      <c r="T331"/>
    </row>
    <row r="332" spans="1:20" ht="65.099999999999994" customHeight="1" x14ac:dyDescent="0.25">
      <c r="A332" s="12" t="s">
        <v>2615</v>
      </c>
      <c r="B332" s="12" t="s">
        <v>147</v>
      </c>
      <c r="C332" s="12" t="s">
        <v>148</v>
      </c>
      <c r="D332" s="12" t="s">
        <v>252</v>
      </c>
      <c r="E332" s="12" t="s">
        <v>1883</v>
      </c>
      <c r="F332" s="12" t="s">
        <v>56</v>
      </c>
      <c r="G332" s="12" t="s">
        <v>2616</v>
      </c>
      <c r="H332" s="12"/>
      <c r="I332" s="12"/>
      <c r="J332" s="12" t="s">
        <v>2272</v>
      </c>
      <c r="K332" s="45">
        <v>45657</v>
      </c>
      <c r="L332" s="45">
        <v>45566</v>
      </c>
      <c r="M332" s="45">
        <v>45595</v>
      </c>
      <c r="N332" s="12" t="s">
        <v>59</v>
      </c>
      <c r="O332" s="12" t="s">
        <v>60</v>
      </c>
      <c r="P332" s="12"/>
      <c r="Q332" s="12"/>
      <c r="R332" s="12" t="s">
        <v>1942</v>
      </c>
      <c r="S332" s="12"/>
      <c r="T332"/>
    </row>
    <row r="333" spans="1:20" ht="104.1" customHeight="1" x14ac:dyDescent="0.25">
      <c r="A333" s="12" t="s">
        <v>2617</v>
      </c>
      <c r="B333" s="12" t="s">
        <v>147</v>
      </c>
      <c r="C333" s="12" t="s">
        <v>148</v>
      </c>
      <c r="D333" s="12" t="s">
        <v>126</v>
      </c>
      <c r="E333" s="12" t="s">
        <v>1883</v>
      </c>
      <c r="F333" s="12" t="s">
        <v>56</v>
      </c>
      <c r="G333" s="12" t="s">
        <v>2618</v>
      </c>
      <c r="H333" s="12"/>
      <c r="I333" s="12"/>
      <c r="J333" s="12" t="s">
        <v>2001</v>
      </c>
      <c r="K333" s="45">
        <v>42919</v>
      </c>
      <c r="L333" s="45">
        <v>42683</v>
      </c>
      <c r="M333" s="45">
        <v>42690</v>
      </c>
      <c r="N333" s="12" t="s">
        <v>91</v>
      </c>
      <c r="O333" s="12" t="s">
        <v>60</v>
      </c>
      <c r="P333" s="12"/>
      <c r="Q333" s="12"/>
      <c r="R333" s="12" t="s">
        <v>1864</v>
      </c>
      <c r="S333" s="12" t="s">
        <v>2619</v>
      </c>
      <c r="T333"/>
    </row>
    <row r="334" spans="1:20" ht="39" customHeight="1" x14ac:dyDescent="0.25">
      <c r="A334" s="12" t="s">
        <v>2620</v>
      </c>
      <c r="B334" s="12" t="s">
        <v>147</v>
      </c>
      <c r="C334" s="12" t="s">
        <v>148</v>
      </c>
      <c r="D334" s="12" t="s">
        <v>224</v>
      </c>
      <c r="E334" s="12" t="s">
        <v>1883</v>
      </c>
      <c r="F334" s="12" t="s">
        <v>56</v>
      </c>
      <c r="G334" s="12" t="s">
        <v>2621</v>
      </c>
      <c r="H334" s="12" t="s">
        <v>2614</v>
      </c>
      <c r="I334" s="12"/>
      <c r="J334" s="12" t="s">
        <v>1381</v>
      </c>
      <c r="K334" s="45">
        <v>44873</v>
      </c>
      <c r="L334" s="45">
        <v>44873</v>
      </c>
      <c r="M334" s="45">
        <v>44911</v>
      </c>
      <c r="N334" s="12" t="s">
        <v>59</v>
      </c>
      <c r="O334" s="12" t="s">
        <v>60</v>
      </c>
      <c r="P334" s="12"/>
      <c r="Q334" s="12"/>
      <c r="R334" s="12" t="s">
        <v>1904</v>
      </c>
      <c r="S334" s="12" t="s">
        <v>2622</v>
      </c>
      <c r="T334"/>
    </row>
    <row r="335" spans="1:20" ht="104.1" customHeight="1" x14ac:dyDescent="0.25">
      <c r="A335" s="12" t="s">
        <v>2623</v>
      </c>
      <c r="B335" s="12" t="s">
        <v>147</v>
      </c>
      <c r="C335" s="12" t="s">
        <v>148</v>
      </c>
      <c r="D335" s="12" t="s">
        <v>252</v>
      </c>
      <c r="E335" s="12" t="s">
        <v>1883</v>
      </c>
      <c r="F335" s="12" t="s">
        <v>56</v>
      </c>
      <c r="G335" s="12" t="s">
        <v>2624</v>
      </c>
      <c r="H335" s="12"/>
      <c r="I335" s="12"/>
      <c r="J335" s="12" t="s">
        <v>2272</v>
      </c>
      <c r="K335" s="45">
        <v>45612</v>
      </c>
      <c r="L335" s="45">
        <v>45566</v>
      </c>
      <c r="M335" s="45">
        <v>45595</v>
      </c>
      <c r="N335" s="12" t="s">
        <v>59</v>
      </c>
      <c r="O335" s="12" t="s">
        <v>60</v>
      </c>
      <c r="P335" s="12"/>
      <c r="Q335" s="12"/>
      <c r="R335" s="12" t="s">
        <v>1886</v>
      </c>
      <c r="S335" s="12"/>
      <c r="T335"/>
    </row>
    <row r="336" spans="1:20" ht="182.1" customHeight="1" x14ac:dyDescent="0.25">
      <c r="A336" s="12" t="s">
        <v>2625</v>
      </c>
      <c r="B336" s="12" t="s">
        <v>147</v>
      </c>
      <c r="C336" s="12" t="s">
        <v>148</v>
      </c>
      <c r="D336" s="12" t="s">
        <v>252</v>
      </c>
      <c r="E336" s="12" t="s">
        <v>1883</v>
      </c>
      <c r="F336" s="12" t="s">
        <v>56</v>
      </c>
      <c r="G336" s="12" t="s">
        <v>2626</v>
      </c>
      <c r="H336" s="12" t="s">
        <v>2130</v>
      </c>
      <c r="I336" s="12"/>
      <c r="J336" s="12" t="s">
        <v>2131</v>
      </c>
      <c r="K336" s="45">
        <v>45383</v>
      </c>
      <c r="L336" s="45">
        <v>45336</v>
      </c>
      <c r="M336" s="45">
        <v>45390</v>
      </c>
      <c r="N336" s="12" t="s">
        <v>59</v>
      </c>
      <c r="O336" s="12" t="s">
        <v>60</v>
      </c>
      <c r="P336" s="12"/>
      <c r="Q336" s="12"/>
      <c r="R336" s="12" t="s">
        <v>1963</v>
      </c>
      <c r="S336" s="12" t="s">
        <v>2622</v>
      </c>
      <c r="T336"/>
    </row>
    <row r="337" spans="1:20" ht="234" customHeight="1" x14ac:dyDescent="0.25">
      <c r="A337" s="12" t="s">
        <v>2627</v>
      </c>
      <c r="B337" s="12" t="s">
        <v>147</v>
      </c>
      <c r="C337" s="12" t="s">
        <v>148</v>
      </c>
      <c r="D337" s="12" t="s">
        <v>224</v>
      </c>
      <c r="E337" s="12" t="s">
        <v>1883</v>
      </c>
      <c r="F337" s="12" t="s">
        <v>56</v>
      </c>
      <c r="G337" s="12" t="s">
        <v>2628</v>
      </c>
      <c r="H337" s="12" t="s">
        <v>2629</v>
      </c>
      <c r="I337" s="12"/>
      <c r="J337" s="12" t="s">
        <v>90</v>
      </c>
      <c r="K337" s="45">
        <v>44873</v>
      </c>
      <c r="L337" s="45">
        <v>44873</v>
      </c>
      <c r="M337" s="45">
        <v>44911</v>
      </c>
      <c r="N337" s="12" t="s">
        <v>59</v>
      </c>
      <c r="O337" s="12" t="s">
        <v>60</v>
      </c>
      <c r="P337" s="12"/>
      <c r="Q337" s="12"/>
      <c r="R337" s="12" t="s">
        <v>1868</v>
      </c>
      <c r="S337" s="12" t="s">
        <v>2622</v>
      </c>
      <c r="T337"/>
    </row>
    <row r="338" spans="1:20" ht="207.95" customHeight="1" x14ac:dyDescent="0.25">
      <c r="A338" s="12" t="s">
        <v>2630</v>
      </c>
      <c r="B338" s="12" t="s">
        <v>147</v>
      </c>
      <c r="C338" s="12" t="s">
        <v>148</v>
      </c>
      <c r="D338" s="12" t="s">
        <v>236</v>
      </c>
      <c r="E338" s="12" t="s">
        <v>1883</v>
      </c>
      <c r="F338" s="12" t="s">
        <v>56</v>
      </c>
      <c r="G338" s="12" t="s">
        <v>1924</v>
      </c>
      <c r="H338" s="12" t="s">
        <v>2631</v>
      </c>
      <c r="I338" s="12"/>
      <c r="J338" s="12" t="s">
        <v>1867</v>
      </c>
      <c r="K338" s="45">
        <v>43586</v>
      </c>
      <c r="L338" s="45">
        <v>43586</v>
      </c>
      <c r="M338" s="45">
        <v>43599</v>
      </c>
      <c r="N338" s="12" t="s">
        <v>91</v>
      </c>
      <c r="O338" s="12" t="s">
        <v>60</v>
      </c>
      <c r="P338" s="12"/>
      <c r="Q338" s="12"/>
      <c r="R338" s="12" t="s">
        <v>1868</v>
      </c>
      <c r="S338" s="12" t="s">
        <v>1268</v>
      </c>
      <c r="T338"/>
    </row>
    <row r="339" spans="1:20" ht="78" customHeight="1" x14ac:dyDescent="0.25">
      <c r="A339" s="12" t="s">
        <v>2632</v>
      </c>
      <c r="B339" s="12" t="s">
        <v>147</v>
      </c>
      <c r="C339" s="12" t="s">
        <v>148</v>
      </c>
      <c r="D339" s="12" t="s">
        <v>224</v>
      </c>
      <c r="E339" s="12" t="s">
        <v>1883</v>
      </c>
      <c r="F339" s="12" t="s">
        <v>56</v>
      </c>
      <c r="G339" s="12" t="s">
        <v>2633</v>
      </c>
      <c r="H339" s="12" t="s">
        <v>2634</v>
      </c>
      <c r="I339" s="12"/>
      <c r="J339" s="12" t="s">
        <v>90</v>
      </c>
      <c r="K339" s="45">
        <v>44873</v>
      </c>
      <c r="L339" s="45">
        <v>44873</v>
      </c>
      <c r="M339" s="45">
        <v>44911</v>
      </c>
      <c r="N339" s="12" t="s">
        <v>59</v>
      </c>
      <c r="O339" s="12" t="s">
        <v>60</v>
      </c>
      <c r="P339" s="12"/>
      <c r="Q339" s="12"/>
      <c r="R339" s="12" t="s">
        <v>1981</v>
      </c>
      <c r="S339" s="12" t="s">
        <v>2622</v>
      </c>
      <c r="T339"/>
    </row>
    <row r="340" spans="1:20" ht="78" customHeight="1" x14ac:dyDescent="0.25">
      <c r="A340" s="12" t="s">
        <v>2635</v>
      </c>
      <c r="B340" s="12" t="s">
        <v>147</v>
      </c>
      <c r="C340" s="12" t="s">
        <v>148</v>
      </c>
      <c r="D340" s="12" t="s">
        <v>224</v>
      </c>
      <c r="E340" s="12" t="s">
        <v>1883</v>
      </c>
      <c r="F340" s="12" t="s">
        <v>212</v>
      </c>
      <c r="G340" s="12" t="s">
        <v>2636</v>
      </c>
      <c r="H340" s="12" t="s">
        <v>2614</v>
      </c>
      <c r="I340" s="12"/>
      <c r="J340" s="12" t="s">
        <v>1381</v>
      </c>
      <c r="K340" s="45">
        <v>44873</v>
      </c>
      <c r="L340" s="45">
        <v>44873</v>
      </c>
      <c r="M340" s="45">
        <v>44911</v>
      </c>
      <c r="N340" s="12" t="s">
        <v>59</v>
      </c>
      <c r="O340" s="12" t="s">
        <v>60</v>
      </c>
      <c r="P340" s="12"/>
      <c r="Q340" s="12"/>
      <c r="R340" s="12" t="s">
        <v>1894</v>
      </c>
      <c r="S340" s="12" t="s">
        <v>2622</v>
      </c>
      <c r="T340"/>
    </row>
    <row r="341" spans="1:20" ht="90.95" customHeight="1" x14ac:dyDescent="0.25">
      <c r="A341" s="12" t="s">
        <v>2637</v>
      </c>
      <c r="B341" s="12" t="s">
        <v>147</v>
      </c>
      <c r="C341" s="12" t="s">
        <v>148</v>
      </c>
      <c r="D341" s="12" t="s">
        <v>224</v>
      </c>
      <c r="E341" s="12" t="s">
        <v>1883</v>
      </c>
      <c r="F341" s="12" t="s">
        <v>56</v>
      </c>
      <c r="G341" s="12" t="s">
        <v>2638</v>
      </c>
      <c r="H341" s="12" t="s">
        <v>2634</v>
      </c>
      <c r="I341" s="12"/>
      <c r="J341" s="12" t="s">
        <v>1381</v>
      </c>
      <c r="K341" s="45">
        <v>44873</v>
      </c>
      <c r="L341" s="45">
        <v>44873</v>
      </c>
      <c r="M341" s="45">
        <v>44911</v>
      </c>
      <c r="N341" s="12" t="s">
        <v>59</v>
      </c>
      <c r="O341" s="12" t="s">
        <v>60</v>
      </c>
      <c r="P341" s="12"/>
      <c r="Q341" s="12"/>
      <c r="R341" s="12" t="s">
        <v>1986</v>
      </c>
      <c r="S341" s="12" t="s">
        <v>2622</v>
      </c>
      <c r="T341"/>
    </row>
    <row r="342" spans="1:20" ht="65.099999999999994" customHeight="1" x14ac:dyDescent="0.25">
      <c r="A342" s="12" t="s">
        <v>2639</v>
      </c>
      <c r="B342" s="12" t="s">
        <v>147</v>
      </c>
      <c r="C342" s="12" t="s">
        <v>148</v>
      </c>
      <c r="D342" s="12" t="s">
        <v>126</v>
      </c>
      <c r="E342" s="12" t="s">
        <v>1883</v>
      </c>
      <c r="F342" s="12" t="s">
        <v>56</v>
      </c>
      <c r="G342" s="12" t="s">
        <v>2034</v>
      </c>
      <c r="H342" s="12"/>
      <c r="I342" s="12"/>
      <c r="J342" s="12" t="s">
        <v>1867</v>
      </c>
      <c r="K342" s="45">
        <v>42611</v>
      </c>
      <c r="L342" s="45">
        <v>42579</v>
      </c>
      <c r="M342" s="45">
        <v>42591</v>
      </c>
      <c r="N342" s="12" t="s">
        <v>91</v>
      </c>
      <c r="O342" s="12" t="s">
        <v>60</v>
      </c>
      <c r="P342" s="12"/>
      <c r="Q342" s="12"/>
      <c r="R342" s="12" t="s">
        <v>1881</v>
      </c>
      <c r="S342" s="12" t="s">
        <v>2640</v>
      </c>
      <c r="T342"/>
    </row>
    <row r="343" spans="1:20" ht="39" customHeight="1" x14ac:dyDescent="0.25">
      <c r="A343" s="12" t="s">
        <v>2641</v>
      </c>
      <c r="B343" s="12" t="s">
        <v>147</v>
      </c>
      <c r="C343" s="12" t="s">
        <v>148</v>
      </c>
      <c r="D343" s="12" t="s">
        <v>83</v>
      </c>
      <c r="E343" s="12" t="s">
        <v>1883</v>
      </c>
      <c r="F343" s="12" t="s">
        <v>56</v>
      </c>
      <c r="G343" s="12" t="s">
        <v>1934</v>
      </c>
      <c r="H343" s="12"/>
      <c r="I343" s="12"/>
      <c r="J343" s="12" t="s">
        <v>1880</v>
      </c>
      <c r="K343" s="45">
        <v>43223</v>
      </c>
      <c r="L343" s="45">
        <v>42914</v>
      </c>
      <c r="M343" s="45">
        <v>43222</v>
      </c>
      <c r="N343" s="12" t="s">
        <v>91</v>
      </c>
      <c r="O343" s="12" t="s">
        <v>60</v>
      </c>
      <c r="P343" s="12"/>
      <c r="Q343" s="12"/>
      <c r="R343" s="12" t="s">
        <v>1871</v>
      </c>
      <c r="S343" s="12" t="s">
        <v>1268</v>
      </c>
      <c r="T343"/>
    </row>
    <row r="344" spans="1:20" ht="39" customHeight="1" x14ac:dyDescent="0.25">
      <c r="A344" s="12" t="s">
        <v>2642</v>
      </c>
      <c r="B344" s="12" t="s">
        <v>147</v>
      </c>
      <c r="C344" s="12" t="s">
        <v>148</v>
      </c>
      <c r="D344" s="12" t="s">
        <v>252</v>
      </c>
      <c r="E344" s="12" t="s">
        <v>1883</v>
      </c>
      <c r="F344" s="12" t="s">
        <v>56</v>
      </c>
      <c r="G344" s="12" t="s">
        <v>2643</v>
      </c>
      <c r="H344" s="12"/>
      <c r="I344" s="12"/>
      <c r="J344" s="12" t="s">
        <v>2272</v>
      </c>
      <c r="K344" s="45">
        <v>45566</v>
      </c>
      <c r="L344" s="45">
        <v>45510</v>
      </c>
      <c r="M344" s="45">
        <v>45595</v>
      </c>
      <c r="N344" s="12" t="s">
        <v>59</v>
      </c>
      <c r="O344" s="12" t="s">
        <v>60</v>
      </c>
      <c r="P344" s="12"/>
      <c r="Q344" s="12"/>
      <c r="R344" s="12" t="s">
        <v>1932</v>
      </c>
      <c r="S344" s="12"/>
      <c r="T344"/>
    </row>
    <row r="345" spans="1:20" ht="39" customHeight="1" x14ac:dyDescent="0.25">
      <c r="A345" s="12" t="s">
        <v>2644</v>
      </c>
      <c r="B345" s="12" t="s">
        <v>147</v>
      </c>
      <c r="C345" s="12" t="s">
        <v>148</v>
      </c>
      <c r="D345" s="12" t="s">
        <v>252</v>
      </c>
      <c r="E345" s="12" t="s">
        <v>1883</v>
      </c>
      <c r="F345" s="12" t="s">
        <v>212</v>
      </c>
      <c r="G345" s="12" t="s">
        <v>2645</v>
      </c>
      <c r="H345" s="12" t="s">
        <v>2130</v>
      </c>
      <c r="I345" s="12"/>
      <c r="J345" s="12" t="s">
        <v>1867</v>
      </c>
      <c r="K345" s="45">
        <v>45260</v>
      </c>
      <c r="L345" s="45">
        <v>45260</v>
      </c>
      <c r="M345" s="45">
        <v>45295</v>
      </c>
      <c r="N345" s="12" t="s">
        <v>59</v>
      </c>
      <c r="O345" s="12" t="s">
        <v>60</v>
      </c>
      <c r="P345" s="12"/>
      <c r="Q345" s="12"/>
      <c r="R345" s="12" t="s">
        <v>1918</v>
      </c>
      <c r="S345" s="12" t="s">
        <v>2622</v>
      </c>
      <c r="T345"/>
    </row>
    <row r="346" spans="1:20" ht="78" customHeight="1" x14ac:dyDescent="0.25">
      <c r="A346" s="12" t="s">
        <v>2646</v>
      </c>
      <c r="B346" s="12" t="s">
        <v>147</v>
      </c>
      <c r="C346" s="12" t="s">
        <v>148</v>
      </c>
      <c r="D346" s="12" t="s">
        <v>236</v>
      </c>
      <c r="E346" s="12" t="s">
        <v>1883</v>
      </c>
      <c r="F346" s="12" t="s">
        <v>56</v>
      </c>
      <c r="G346" s="12" t="s">
        <v>2150</v>
      </c>
      <c r="H346" s="12" t="s">
        <v>2647</v>
      </c>
      <c r="I346" s="12"/>
      <c r="J346" s="12" t="s">
        <v>1867</v>
      </c>
      <c r="K346" s="45">
        <v>43636</v>
      </c>
      <c r="L346" s="45">
        <v>43636</v>
      </c>
      <c r="M346" s="45">
        <v>43650</v>
      </c>
      <c r="N346" s="12" t="s">
        <v>59</v>
      </c>
      <c r="O346" s="12" t="s">
        <v>60</v>
      </c>
      <c r="P346" s="12"/>
      <c r="Q346" s="12"/>
      <c r="R346" s="12" t="s">
        <v>1877</v>
      </c>
      <c r="S346" s="12" t="s">
        <v>1268</v>
      </c>
      <c r="T346"/>
    </row>
    <row r="347" spans="1:20" ht="104.1" customHeight="1" x14ac:dyDescent="0.25">
      <c r="A347" s="12" t="s">
        <v>2648</v>
      </c>
      <c r="B347" s="12" t="s">
        <v>147</v>
      </c>
      <c r="C347" s="12" t="s">
        <v>148</v>
      </c>
      <c r="D347" s="12" t="s">
        <v>55</v>
      </c>
      <c r="E347" s="12" t="s">
        <v>1883</v>
      </c>
      <c r="F347" s="12" t="s">
        <v>56</v>
      </c>
      <c r="G347" s="12" t="s">
        <v>2152</v>
      </c>
      <c r="H347" s="12"/>
      <c r="I347" s="12"/>
      <c r="J347" s="12" t="s">
        <v>1867</v>
      </c>
      <c r="K347" s="45">
        <v>43455</v>
      </c>
      <c r="L347" s="45">
        <v>42914</v>
      </c>
      <c r="M347" s="45">
        <v>43462</v>
      </c>
      <c r="N347" s="12" t="s">
        <v>91</v>
      </c>
      <c r="O347" s="12" t="s">
        <v>60</v>
      </c>
      <c r="P347" s="12"/>
      <c r="Q347" s="12"/>
      <c r="R347" s="12" t="s">
        <v>1874</v>
      </c>
      <c r="S347" s="12" t="s">
        <v>1268</v>
      </c>
      <c r="T347"/>
    </row>
    <row r="348" spans="1:20" ht="65.099999999999994" customHeight="1" x14ac:dyDescent="0.25">
      <c r="A348" s="12" t="s">
        <v>2649</v>
      </c>
      <c r="B348" s="12" t="s">
        <v>147</v>
      </c>
      <c r="C348" s="12" t="s">
        <v>148</v>
      </c>
      <c r="D348" s="12" t="s">
        <v>224</v>
      </c>
      <c r="E348" s="12" t="s">
        <v>1883</v>
      </c>
      <c r="F348" s="12" t="s">
        <v>212</v>
      </c>
      <c r="G348" s="12" t="s">
        <v>2650</v>
      </c>
      <c r="H348" s="12" t="s">
        <v>2614</v>
      </c>
      <c r="I348" s="12"/>
      <c r="J348" s="12" t="s">
        <v>1381</v>
      </c>
      <c r="K348" s="45">
        <v>44873</v>
      </c>
      <c r="L348" s="45">
        <v>44873</v>
      </c>
      <c r="M348" s="45">
        <v>44911</v>
      </c>
      <c r="N348" s="12" t="s">
        <v>59</v>
      </c>
      <c r="O348" s="12" t="s">
        <v>60</v>
      </c>
      <c r="P348" s="12"/>
      <c r="Q348" s="12"/>
      <c r="R348" s="12" t="s">
        <v>1938</v>
      </c>
      <c r="S348" s="12" t="s">
        <v>2622</v>
      </c>
      <c r="T348"/>
    </row>
    <row r="349" spans="1:20" ht="104.1" customHeight="1" x14ac:dyDescent="0.25">
      <c r="A349" s="12" t="s">
        <v>2651</v>
      </c>
      <c r="B349" s="12" t="s">
        <v>150</v>
      </c>
      <c r="C349" s="12" t="s">
        <v>151</v>
      </c>
      <c r="D349" s="12" t="s">
        <v>228</v>
      </c>
      <c r="E349" s="12" t="s">
        <v>1862</v>
      </c>
      <c r="F349" s="12" t="s">
        <v>212</v>
      </c>
      <c r="G349" s="12" t="s">
        <v>2652</v>
      </c>
      <c r="H349" s="12"/>
      <c r="I349" s="12"/>
      <c r="J349" s="12"/>
      <c r="K349" s="45">
        <v>44406</v>
      </c>
      <c r="L349" s="45">
        <v>44406</v>
      </c>
      <c r="M349" s="45">
        <v>44406</v>
      </c>
      <c r="N349" s="12" t="s">
        <v>59</v>
      </c>
      <c r="O349" s="12" t="s">
        <v>60</v>
      </c>
      <c r="P349" s="12"/>
      <c r="Q349" s="12"/>
      <c r="R349" s="12" t="s">
        <v>1894</v>
      </c>
      <c r="S349" s="12" t="s">
        <v>2653</v>
      </c>
      <c r="T349"/>
    </row>
    <row r="350" spans="1:20" ht="39" customHeight="1" x14ac:dyDescent="0.25">
      <c r="A350" s="12" t="s">
        <v>2654</v>
      </c>
      <c r="B350" s="12" t="s">
        <v>150</v>
      </c>
      <c r="C350" s="12" t="s">
        <v>151</v>
      </c>
      <c r="D350" s="12" t="s">
        <v>224</v>
      </c>
      <c r="E350" s="12" t="s">
        <v>1862</v>
      </c>
      <c r="F350" s="12" t="s">
        <v>212</v>
      </c>
      <c r="G350" s="12" t="s">
        <v>2655</v>
      </c>
      <c r="H350" s="12"/>
      <c r="I350" s="12"/>
      <c r="J350" s="12" t="s">
        <v>90</v>
      </c>
      <c r="K350" s="45">
        <v>44769</v>
      </c>
      <c r="L350" s="45">
        <v>44768</v>
      </c>
      <c r="M350" s="45">
        <v>44785</v>
      </c>
      <c r="N350" s="12" t="s">
        <v>59</v>
      </c>
      <c r="O350" s="12" t="s">
        <v>60</v>
      </c>
      <c r="P350" s="12"/>
      <c r="Q350" s="12"/>
      <c r="R350" s="12" t="s">
        <v>1981</v>
      </c>
      <c r="S350" s="12" t="s">
        <v>2656</v>
      </c>
      <c r="T350"/>
    </row>
    <row r="351" spans="1:20" ht="39" customHeight="1" x14ac:dyDescent="0.25">
      <c r="A351" s="12" t="s">
        <v>2657</v>
      </c>
      <c r="B351" s="12" t="s">
        <v>150</v>
      </c>
      <c r="C351" s="12" t="s">
        <v>151</v>
      </c>
      <c r="D351" s="12" t="s">
        <v>224</v>
      </c>
      <c r="E351" s="12" t="s">
        <v>1862</v>
      </c>
      <c r="F351" s="12" t="s">
        <v>212</v>
      </c>
      <c r="G351" s="12" t="s">
        <v>2658</v>
      </c>
      <c r="H351" s="12"/>
      <c r="I351" s="12"/>
      <c r="J351" s="12" t="s">
        <v>90</v>
      </c>
      <c r="K351" s="45">
        <v>44789</v>
      </c>
      <c r="L351" s="45">
        <v>44785</v>
      </c>
      <c r="M351" s="45">
        <v>44790</v>
      </c>
      <c r="N351" s="12" t="s">
        <v>59</v>
      </c>
      <c r="O351" s="12" t="s">
        <v>60</v>
      </c>
      <c r="P351" s="12"/>
      <c r="Q351" s="12"/>
      <c r="R351" s="12" t="s">
        <v>1986</v>
      </c>
      <c r="S351" s="12" t="s">
        <v>2659</v>
      </c>
      <c r="T351"/>
    </row>
    <row r="352" spans="1:20" ht="39" customHeight="1" x14ac:dyDescent="0.25">
      <c r="A352" s="12" t="s">
        <v>2660</v>
      </c>
      <c r="B352" s="12" t="s">
        <v>150</v>
      </c>
      <c r="C352" s="12" t="s">
        <v>151</v>
      </c>
      <c r="D352" s="12" t="s">
        <v>236</v>
      </c>
      <c r="E352" s="12" t="s">
        <v>1862</v>
      </c>
      <c r="F352" s="12" t="s">
        <v>56</v>
      </c>
      <c r="G352" s="12" t="s">
        <v>1873</v>
      </c>
      <c r="H352" s="12"/>
      <c r="I352" s="12"/>
      <c r="J352" s="12" t="s">
        <v>1867</v>
      </c>
      <c r="K352" s="45">
        <v>43472</v>
      </c>
      <c r="L352" s="45">
        <v>43472</v>
      </c>
      <c r="M352" s="45">
        <v>43480</v>
      </c>
      <c r="N352" s="12" t="s">
        <v>59</v>
      </c>
      <c r="O352" s="12" t="s">
        <v>60</v>
      </c>
      <c r="P352" s="12"/>
      <c r="Q352" s="12"/>
      <c r="R352" s="12" t="s">
        <v>1874</v>
      </c>
      <c r="S352" s="12" t="s">
        <v>2661</v>
      </c>
      <c r="T352"/>
    </row>
    <row r="353" spans="1:20" ht="39" customHeight="1" x14ac:dyDescent="0.25">
      <c r="A353" s="12" t="s">
        <v>2662</v>
      </c>
      <c r="B353" s="12" t="s">
        <v>150</v>
      </c>
      <c r="C353" s="12" t="s">
        <v>151</v>
      </c>
      <c r="D353" s="12" t="s">
        <v>224</v>
      </c>
      <c r="E353" s="12" t="s">
        <v>1862</v>
      </c>
      <c r="F353" s="12" t="s">
        <v>56</v>
      </c>
      <c r="G353" s="12" t="s">
        <v>2663</v>
      </c>
      <c r="H353" s="12"/>
      <c r="I353" s="12"/>
      <c r="J353" s="12" t="s">
        <v>1381</v>
      </c>
      <c r="K353" s="45">
        <v>44769</v>
      </c>
      <c r="L353" s="45">
        <v>44768</v>
      </c>
      <c r="M353" s="45">
        <v>44785</v>
      </c>
      <c r="N353" s="12" t="s">
        <v>59</v>
      </c>
      <c r="O353" s="12" t="s">
        <v>60</v>
      </c>
      <c r="P353" s="12"/>
      <c r="Q353" s="12"/>
      <c r="R353" s="12" t="s">
        <v>1900</v>
      </c>
      <c r="S353" s="12" t="s">
        <v>2664</v>
      </c>
      <c r="T353"/>
    </row>
    <row r="354" spans="1:20" ht="39" customHeight="1" x14ac:dyDescent="0.25">
      <c r="A354" s="12" t="s">
        <v>2665</v>
      </c>
      <c r="B354" s="12" t="s">
        <v>150</v>
      </c>
      <c r="C354" s="12" t="s">
        <v>151</v>
      </c>
      <c r="D354" s="12" t="s">
        <v>252</v>
      </c>
      <c r="E354" s="12" t="s">
        <v>1862</v>
      </c>
      <c r="F354" s="12" t="s">
        <v>56</v>
      </c>
      <c r="G354" s="12" t="s">
        <v>2666</v>
      </c>
      <c r="H354" s="12"/>
      <c r="I354" s="12"/>
      <c r="J354" s="12"/>
      <c r="K354" s="45">
        <v>45455</v>
      </c>
      <c r="L354" s="45">
        <v>45453</v>
      </c>
      <c r="M354" s="45">
        <v>45455</v>
      </c>
      <c r="N354" s="12" t="s">
        <v>59</v>
      </c>
      <c r="O354" s="12" t="s">
        <v>60</v>
      </c>
      <c r="P354" s="12"/>
      <c r="Q354" s="12"/>
      <c r="R354" s="12" t="s">
        <v>1886</v>
      </c>
      <c r="S354" s="12" t="s">
        <v>2667</v>
      </c>
      <c r="T354"/>
    </row>
    <row r="355" spans="1:20" ht="65.099999999999994" customHeight="1" x14ac:dyDescent="0.25">
      <c r="A355" s="12" t="s">
        <v>2668</v>
      </c>
      <c r="B355" s="12" t="s">
        <v>150</v>
      </c>
      <c r="C355" s="12" t="s">
        <v>151</v>
      </c>
      <c r="D355" s="12" t="s">
        <v>126</v>
      </c>
      <c r="E355" s="12" t="s">
        <v>1883</v>
      </c>
      <c r="F355" s="12" t="s">
        <v>56</v>
      </c>
      <c r="G355" s="12" t="s">
        <v>2210</v>
      </c>
      <c r="H355" s="12" t="s">
        <v>2154</v>
      </c>
      <c r="I355" s="12"/>
      <c r="J355" s="12" t="s">
        <v>2001</v>
      </c>
      <c r="K355" s="45">
        <v>42723</v>
      </c>
      <c r="L355" s="45">
        <v>42723</v>
      </c>
      <c r="M355" s="45">
        <v>42726</v>
      </c>
      <c r="N355" s="12" t="s">
        <v>91</v>
      </c>
      <c r="O355" s="12" t="s">
        <v>60</v>
      </c>
      <c r="P355" s="12"/>
      <c r="Q355" s="12"/>
      <c r="R355" s="12" t="s">
        <v>1864</v>
      </c>
      <c r="S355" s="12" t="s">
        <v>2669</v>
      </c>
      <c r="T355"/>
    </row>
    <row r="356" spans="1:20" ht="51.95" customHeight="1" x14ac:dyDescent="0.25">
      <c r="A356" s="12" t="s">
        <v>2670</v>
      </c>
      <c r="B356" s="12" t="s">
        <v>150</v>
      </c>
      <c r="C356" s="12" t="s">
        <v>151</v>
      </c>
      <c r="D356" s="12" t="s">
        <v>236</v>
      </c>
      <c r="E356" s="12" t="s">
        <v>1862</v>
      </c>
      <c r="F356" s="12" t="s">
        <v>56</v>
      </c>
      <c r="G356" s="12" t="s">
        <v>2671</v>
      </c>
      <c r="H356" s="12"/>
      <c r="I356" s="12"/>
      <c r="J356" s="12" t="s">
        <v>1867</v>
      </c>
      <c r="K356" s="45">
        <v>43595</v>
      </c>
      <c r="L356" s="45">
        <v>43595</v>
      </c>
      <c r="M356" s="45">
        <v>43600</v>
      </c>
      <c r="N356" s="12" t="s">
        <v>59</v>
      </c>
      <c r="O356" s="12" t="s">
        <v>60</v>
      </c>
      <c r="P356" s="12"/>
      <c r="Q356" s="12"/>
      <c r="R356" s="12" t="s">
        <v>1868</v>
      </c>
      <c r="S356" s="12" t="s">
        <v>2672</v>
      </c>
      <c r="T356"/>
    </row>
    <row r="357" spans="1:20" ht="78" customHeight="1" x14ac:dyDescent="0.25">
      <c r="A357" s="12" t="s">
        <v>2673</v>
      </c>
      <c r="B357" s="12" t="s">
        <v>150</v>
      </c>
      <c r="C357" s="12" t="s">
        <v>151</v>
      </c>
      <c r="D357" s="12" t="s">
        <v>236</v>
      </c>
      <c r="E357" s="12" t="s">
        <v>1862</v>
      </c>
      <c r="F357" s="12" t="s">
        <v>56</v>
      </c>
      <c r="G357" s="12" t="s">
        <v>1876</v>
      </c>
      <c r="H357" s="12"/>
      <c r="I357" s="12"/>
      <c r="J357" s="12" t="s">
        <v>1867</v>
      </c>
      <c r="K357" s="45">
        <v>43578</v>
      </c>
      <c r="L357" s="45">
        <v>43578</v>
      </c>
      <c r="M357" s="45">
        <v>43600</v>
      </c>
      <c r="N357" s="12" t="s">
        <v>59</v>
      </c>
      <c r="O357" s="12" t="s">
        <v>60</v>
      </c>
      <c r="P357" s="12"/>
      <c r="Q357" s="12"/>
      <c r="R357" s="12" t="s">
        <v>1877</v>
      </c>
      <c r="S357" s="12" t="s">
        <v>2674</v>
      </c>
      <c r="T357"/>
    </row>
    <row r="358" spans="1:20" ht="51.95" customHeight="1" x14ac:dyDescent="0.25">
      <c r="A358" s="12" t="s">
        <v>2675</v>
      </c>
      <c r="B358" s="12" t="s">
        <v>150</v>
      </c>
      <c r="C358" s="12" t="s">
        <v>151</v>
      </c>
      <c r="D358" s="12" t="s">
        <v>126</v>
      </c>
      <c r="E358" s="12" t="s">
        <v>1883</v>
      </c>
      <c r="F358" s="12" t="s">
        <v>56</v>
      </c>
      <c r="G358" s="12" t="s">
        <v>2676</v>
      </c>
      <c r="H358" s="12"/>
      <c r="I358" s="12" t="s">
        <v>2677</v>
      </c>
      <c r="J358" s="12" t="s">
        <v>1867</v>
      </c>
      <c r="K358" s="45">
        <v>42613</v>
      </c>
      <c r="L358" s="45">
        <v>42612</v>
      </c>
      <c r="M358" s="45">
        <v>42615</v>
      </c>
      <c r="N358" s="12" t="s">
        <v>91</v>
      </c>
      <c r="O358" s="12" t="s">
        <v>60</v>
      </c>
      <c r="P358" s="12"/>
      <c r="Q358" s="12"/>
      <c r="R358" s="12" t="s">
        <v>2678</v>
      </c>
      <c r="S358" s="12" t="s">
        <v>2679</v>
      </c>
      <c r="T358"/>
    </row>
    <row r="359" spans="1:20" ht="78" customHeight="1" x14ac:dyDescent="0.25">
      <c r="A359" s="12" t="s">
        <v>2680</v>
      </c>
      <c r="B359" s="12" t="s">
        <v>150</v>
      </c>
      <c r="C359" s="12" t="s">
        <v>151</v>
      </c>
      <c r="D359" s="12" t="s">
        <v>220</v>
      </c>
      <c r="E359" s="12" t="s">
        <v>1862</v>
      </c>
      <c r="F359" s="12" t="s">
        <v>212</v>
      </c>
      <c r="G359" s="12" t="s">
        <v>2681</v>
      </c>
      <c r="H359" s="12"/>
      <c r="I359" s="12"/>
      <c r="J359" s="12" t="s">
        <v>1381</v>
      </c>
      <c r="K359" s="45">
        <v>45142</v>
      </c>
      <c r="L359" s="45">
        <v>45142</v>
      </c>
      <c r="M359" s="45">
        <v>45142</v>
      </c>
      <c r="N359" s="12" t="s">
        <v>59</v>
      </c>
      <c r="O359" s="12" t="s">
        <v>60</v>
      </c>
      <c r="P359" s="12"/>
      <c r="Q359" s="12"/>
      <c r="R359" s="12" t="s">
        <v>1978</v>
      </c>
      <c r="S359" s="12" t="s">
        <v>2682</v>
      </c>
      <c r="T359"/>
    </row>
    <row r="360" spans="1:20" ht="39" customHeight="1" x14ac:dyDescent="0.25">
      <c r="A360" s="12" t="s">
        <v>2683</v>
      </c>
      <c r="B360" s="12" t="s">
        <v>150</v>
      </c>
      <c r="C360" s="12" t="s">
        <v>151</v>
      </c>
      <c r="D360" s="12" t="s">
        <v>55</v>
      </c>
      <c r="E360" s="12" t="s">
        <v>1862</v>
      </c>
      <c r="F360" s="12" t="s">
        <v>56</v>
      </c>
      <c r="G360" s="12" t="s">
        <v>1870</v>
      </c>
      <c r="H360" s="12"/>
      <c r="I360" s="12"/>
      <c r="J360" s="12" t="s">
        <v>1867</v>
      </c>
      <c r="K360" s="45">
        <v>43196</v>
      </c>
      <c r="L360" s="45">
        <v>43196</v>
      </c>
      <c r="M360" s="45">
        <v>43196</v>
      </c>
      <c r="N360" s="12" t="s">
        <v>91</v>
      </c>
      <c r="O360" s="12" t="s">
        <v>60</v>
      </c>
      <c r="P360" s="12"/>
      <c r="Q360" s="12"/>
      <c r="R360" s="12" t="s">
        <v>1871</v>
      </c>
      <c r="S360" s="12" t="s">
        <v>2684</v>
      </c>
      <c r="T360"/>
    </row>
    <row r="361" spans="1:20" ht="65.099999999999994" customHeight="1" x14ac:dyDescent="0.25">
      <c r="A361" s="12" t="s">
        <v>2685</v>
      </c>
      <c r="B361" s="12" t="s">
        <v>150</v>
      </c>
      <c r="C361" s="12" t="s">
        <v>151</v>
      </c>
      <c r="D361" s="12" t="s">
        <v>224</v>
      </c>
      <c r="E361" s="12" t="s">
        <v>1862</v>
      </c>
      <c r="F361" s="12" t="s">
        <v>212</v>
      </c>
      <c r="G361" s="12" t="s">
        <v>2686</v>
      </c>
      <c r="H361" s="12"/>
      <c r="I361" s="12"/>
      <c r="J361" s="12"/>
      <c r="K361" s="45">
        <v>44606</v>
      </c>
      <c r="L361" s="45">
        <v>44606</v>
      </c>
      <c r="M361" s="45">
        <v>44636</v>
      </c>
      <c r="N361" s="12" t="s">
        <v>59</v>
      </c>
      <c r="O361" s="12" t="s">
        <v>60</v>
      </c>
      <c r="P361" s="12"/>
      <c r="Q361" s="12"/>
      <c r="R361" s="12" t="s">
        <v>1938</v>
      </c>
      <c r="S361" s="12" t="s">
        <v>2687</v>
      </c>
      <c r="T361"/>
    </row>
    <row r="362" spans="1:20" ht="26.1" customHeight="1" x14ac:dyDescent="0.25">
      <c r="A362" s="12" t="s">
        <v>2688</v>
      </c>
      <c r="B362" s="12" t="s">
        <v>150</v>
      </c>
      <c r="C362" s="12" t="s">
        <v>151</v>
      </c>
      <c r="D362" s="12" t="s">
        <v>224</v>
      </c>
      <c r="E362" s="12" t="s">
        <v>1862</v>
      </c>
      <c r="F362" s="12" t="s">
        <v>212</v>
      </c>
      <c r="G362" s="12" t="s">
        <v>2689</v>
      </c>
      <c r="H362" s="12"/>
      <c r="I362" s="12"/>
      <c r="J362" s="12" t="s">
        <v>90</v>
      </c>
      <c r="K362" s="45">
        <v>44823</v>
      </c>
      <c r="L362" s="45">
        <v>44823</v>
      </c>
      <c r="M362" s="45">
        <v>44845</v>
      </c>
      <c r="N362" s="12" t="s">
        <v>59</v>
      </c>
      <c r="O362" s="12" t="s">
        <v>60</v>
      </c>
      <c r="P362" s="12"/>
      <c r="Q362" s="12"/>
      <c r="R362" s="12" t="s">
        <v>1910</v>
      </c>
      <c r="S362" s="12" t="s">
        <v>2690</v>
      </c>
      <c r="T362"/>
    </row>
    <row r="363" spans="1:20" ht="39" customHeight="1" x14ac:dyDescent="0.25">
      <c r="A363" s="12" t="s">
        <v>2691</v>
      </c>
      <c r="B363" s="12" t="s">
        <v>150</v>
      </c>
      <c r="C363" s="12" t="s">
        <v>151</v>
      </c>
      <c r="D363" s="12" t="s">
        <v>252</v>
      </c>
      <c r="E363" s="12" t="s">
        <v>1862</v>
      </c>
      <c r="F363" s="12" t="s">
        <v>56</v>
      </c>
      <c r="G363" s="12" t="s">
        <v>2692</v>
      </c>
      <c r="H363" s="12"/>
      <c r="I363" s="12"/>
      <c r="J363" s="12" t="s">
        <v>1381</v>
      </c>
      <c r="K363" s="45">
        <v>45551</v>
      </c>
      <c r="L363" s="45">
        <v>45551</v>
      </c>
      <c r="M363" s="45">
        <v>45551</v>
      </c>
      <c r="N363" s="12" t="s">
        <v>59</v>
      </c>
      <c r="O363" s="12" t="s">
        <v>60</v>
      </c>
      <c r="P363" s="12"/>
      <c r="Q363" s="12"/>
      <c r="R363" s="12" t="s">
        <v>1942</v>
      </c>
      <c r="S363" s="12"/>
      <c r="T363"/>
    </row>
    <row r="364" spans="1:20" ht="104.1" customHeight="1" x14ac:dyDescent="0.25">
      <c r="A364" s="12" t="s">
        <v>2693</v>
      </c>
      <c r="B364" s="12" t="s">
        <v>150</v>
      </c>
      <c r="C364" s="12" t="s">
        <v>151</v>
      </c>
      <c r="D364" s="12" t="s">
        <v>228</v>
      </c>
      <c r="E364" s="12" t="s">
        <v>1862</v>
      </c>
      <c r="F364" s="12" t="s">
        <v>212</v>
      </c>
      <c r="G364" s="12" t="s">
        <v>2694</v>
      </c>
      <c r="H364" s="12"/>
      <c r="I364" s="12"/>
      <c r="J364" s="12"/>
      <c r="K364" s="45">
        <v>44406</v>
      </c>
      <c r="L364" s="45">
        <v>44406</v>
      </c>
      <c r="M364" s="45">
        <v>44406</v>
      </c>
      <c r="N364" s="12" t="s">
        <v>59</v>
      </c>
      <c r="O364" s="12" t="s">
        <v>60</v>
      </c>
      <c r="P364" s="12"/>
      <c r="Q364" s="12"/>
      <c r="R364" s="12" t="s">
        <v>1922</v>
      </c>
      <c r="S364" s="12" t="s">
        <v>2653</v>
      </c>
      <c r="T364"/>
    </row>
    <row r="365" spans="1:20" ht="90.95" customHeight="1" x14ac:dyDescent="0.25">
      <c r="A365" s="12" t="s">
        <v>2695</v>
      </c>
      <c r="B365" s="12" t="s">
        <v>150</v>
      </c>
      <c r="C365" s="12" t="s">
        <v>151</v>
      </c>
      <c r="D365" s="12" t="s">
        <v>252</v>
      </c>
      <c r="E365" s="12" t="s">
        <v>1862</v>
      </c>
      <c r="F365" s="12" t="s">
        <v>56</v>
      </c>
      <c r="G365" s="12" t="s">
        <v>2696</v>
      </c>
      <c r="H365" s="12"/>
      <c r="I365" s="12"/>
      <c r="J365" s="12"/>
      <c r="K365" s="45">
        <v>45455</v>
      </c>
      <c r="L365" s="45">
        <v>45453</v>
      </c>
      <c r="M365" s="45">
        <v>45455</v>
      </c>
      <c r="N365" s="12" t="s">
        <v>59</v>
      </c>
      <c r="O365" s="12" t="s">
        <v>60</v>
      </c>
      <c r="P365" s="12"/>
      <c r="Q365" s="12"/>
      <c r="R365" s="12" t="s">
        <v>1932</v>
      </c>
      <c r="S365" s="12" t="s">
        <v>2697</v>
      </c>
      <c r="T365"/>
    </row>
    <row r="366" spans="1:20" ht="104.1" customHeight="1" x14ac:dyDescent="0.25">
      <c r="A366" s="12" t="s">
        <v>2698</v>
      </c>
      <c r="B366" s="12" t="s">
        <v>150</v>
      </c>
      <c r="C366" s="12" t="s">
        <v>151</v>
      </c>
      <c r="D366" s="12" t="s">
        <v>252</v>
      </c>
      <c r="E366" s="12" t="s">
        <v>1862</v>
      </c>
      <c r="F366" s="12" t="s">
        <v>56</v>
      </c>
      <c r="G366" s="12" t="s">
        <v>2699</v>
      </c>
      <c r="H366" s="12"/>
      <c r="I366" s="12"/>
      <c r="J366" s="12" t="s">
        <v>1381</v>
      </c>
      <c r="K366" s="45">
        <v>45342</v>
      </c>
      <c r="L366" s="45">
        <v>45212</v>
      </c>
      <c r="M366" s="45">
        <v>45342</v>
      </c>
      <c r="N366" s="12" t="s">
        <v>59</v>
      </c>
      <c r="O366" s="12" t="s">
        <v>60</v>
      </c>
      <c r="P366" s="12"/>
      <c r="Q366" s="12"/>
      <c r="R366" s="12" t="s">
        <v>2194</v>
      </c>
      <c r="S366" s="12" t="s">
        <v>2700</v>
      </c>
      <c r="T366"/>
    </row>
    <row r="367" spans="1:20" ht="104.1" customHeight="1" x14ac:dyDescent="0.25">
      <c r="A367" s="12" t="s">
        <v>2701</v>
      </c>
      <c r="B367" s="12" t="s">
        <v>150</v>
      </c>
      <c r="C367" s="12" t="s">
        <v>151</v>
      </c>
      <c r="D367" s="12" t="s">
        <v>252</v>
      </c>
      <c r="E367" s="12" t="s">
        <v>1862</v>
      </c>
      <c r="F367" s="12" t="s">
        <v>56</v>
      </c>
      <c r="G367" s="12" t="s">
        <v>2702</v>
      </c>
      <c r="H367" s="12"/>
      <c r="I367" s="12"/>
      <c r="J367" s="12" t="s">
        <v>1381</v>
      </c>
      <c r="K367" s="45">
        <v>45373</v>
      </c>
      <c r="L367" s="45">
        <v>45366</v>
      </c>
      <c r="M367" s="45">
        <v>45373</v>
      </c>
      <c r="N367" s="12" t="s">
        <v>59</v>
      </c>
      <c r="O367" s="12" t="s">
        <v>60</v>
      </c>
      <c r="P367" s="12"/>
      <c r="Q367" s="12"/>
      <c r="R367" s="12" t="s">
        <v>1963</v>
      </c>
      <c r="S367" s="12" t="s">
        <v>2703</v>
      </c>
      <c r="T367"/>
    </row>
    <row r="368" spans="1:20" ht="51.95" customHeight="1" x14ac:dyDescent="0.25">
      <c r="A368" s="12" t="s">
        <v>2704</v>
      </c>
      <c r="B368" s="12" t="s">
        <v>157</v>
      </c>
      <c r="C368" s="12" t="s">
        <v>1272</v>
      </c>
      <c r="D368" s="12" t="s">
        <v>126</v>
      </c>
      <c r="E368" s="12" t="s">
        <v>1862</v>
      </c>
      <c r="F368" s="12" t="s">
        <v>56</v>
      </c>
      <c r="G368" s="12" t="s">
        <v>1879</v>
      </c>
      <c r="H368" s="12"/>
      <c r="I368" s="12"/>
      <c r="J368" s="12"/>
      <c r="K368" s="45">
        <v>42577</v>
      </c>
      <c r="L368" s="45">
        <v>42577</v>
      </c>
      <c r="M368" s="45">
        <v>42678</v>
      </c>
      <c r="N368" s="12" t="s">
        <v>91</v>
      </c>
      <c r="O368" s="12" t="s">
        <v>60</v>
      </c>
      <c r="P368" s="12"/>
      <c r="Q368" s="12"/>
      <c r="R368" s="12" t="s">
        <v>1881</v>
      </c>
      <c r="S368" s="12"/>
      <c r="T368"/>
    </row>
    <row r="369" spans="1:20" ht="65.099999999999994" customHeight="1" x14ac:dyDescent="0.25">
      <c r="A369" s="12" t="s">
        <v>2705</v>
      </c>
      <c r="B369" s="12" t="s">
        <v>157</v>
      </c>
      <c r="C369" s="12" t="s">
        <v>1272</v>
      </c>
      <c r="D369" s="12" t="s">
        <v>252</v>
      </c>
      <c r="E369" s="12" t="s">
        <v>1862</v>
      </c>
      <c r="F369" s="12" t="s">
        <v>56</v>
      </c>
      <c r="G369" s="12" t="s">
        <v>2706</v>
      </c>
      <c r="H369" s="12"/>
      <c r="I369" s="12"/>
      <c r="J369" s="12" t="s">
        <v>915</v>
      </c>
      <c r="K369" s="45">
        <v>45512</v>
      </c>
      <c r="L369" s="45">
        <v>45512</v>
      </c>
      <c r="M369" s="45">
        <v>45511</v>
      </c>
      <c r="N369" s="12" t="s">
        <v>59</v>
      </c>
      <c r="O369" s="12" t="s">
        <v>60</v>
      </c>
      <c r="P369" s="12"/>
      <c r="Q369" s="12"/>
      <c r="R369" s="12" t="s">
        <v>1942</v>
      </c>
      <c r="S369" s="12" t="s">
        <v>2707</v>
      </c>
      <c r="T369"/>
    </row>
    <row r="370" spans="1:20" ht="90.95" customHeight="1" x14ac:dyDescent="0.25">
      <c r="A370" s="12" t="s">
        <v>2708</v>
      </c>
      <c r="B370" s="12" t="s">
        <v>157</v>
      </c>
      <c r="C370" s="12" t="s">
        <v>1272</v>
      </c>
      <c r="D370" s="12" t="s">
        <v>252</v>
      </c>
      <c r="E370" s="12" t="s">
        <v>1862</v>
      </c>
      <c r="F370" s="12" t="s">
        <v>56</v>
      </c>
      <c r="G370" s="12" t="s">
        <v>2709</v>
      </c>
      <c r="H370" s="12"/>
      <c r="I370" s="12"/>
      <c r="J370" s="12" t="s">
        <v>915</v>
      </c>
      <c r="K370" s="45">
        <v>45527</v>
      </c>
      <c r="L370" s="45">
        <v>45527</v>
      </c>
      <c r="M370" s="45">
        <v>45526</v>
      </c>
      <c r="N370" s="12" t="s">
        <v>59</v>
      </c>
      <c r="O370" s="12" t="s">
        <v>60</v>
      </c>
      <c r="P370" s="12"/>
      <c r="Q370" s="12"/>
      <c r="R370" s="12" t="s">
        <v>1886</v>
      </c>
      <c r="S370" s="12" t="s">
        <v>2707</v>
      </c>
      <c r="T370"/>
    </row>
    <row r="371" spans="1:20" ht="39" customHeight="1" x14ac:dyDescent="0.25">
      <c r="A371" s="12" t="s">
        <v>2710</v>
      </c>
      <c r="B371" s="12" t="s">
        <v>157</v>
      </c>
      <c r="C371" s="12" t="s">
        <v>1272</v>
      </c>
      <c r="D371" s="12" t="s">
        <v>228</v>
      </c>
      <c r="E371" s="12" t="s">
        <v>1862</v>
      </c>
      <c r="F371" s="12" t="s">
        <v>212</v>
      </c>
      <c r="G371" s="12" t="s">
        <v>2711</v>
      </c>
      <c r="H371" s="12"/>
      <c r="I371" s="12"/>
      <c r="J371" s="12"/>
      <c r="K371" s="45">
        <v>44383</v>
      </c>
      <c r="L371" s="45">
        <v>44383</v>
      </c>
      <c r="M371" s="45">
        <v>44383</v>
      </c>
      <c r="N371" s="12" t="s">
        <v>59</v>
      </c>
      <c r="O371" s="12" t="s">
        <v>60</v>
      </c>
      <c r="P371" s="12"/>
      <c r="Q371" s="12"/>
      <c r="R371" s="12" t="s">
        <v>1922</v>
      </c>
      <c r="S371" s="12" t="s">
        <v>2707</v>
      </c>
      <c r="T371"/>
    </row>
    <row r="372" spans="1:20" ht="39" customHeight="1" x14ac:dyDescent="0.25">
      <c r="A372" s="12" t="s">
        <v>2712</v>
      </c>
      <c r="B372" s="12" t="s">
        <v>157</v>
      </c>
      <c r="C372" s="12" t="s">
        <v>1272</v>
      </c>
      <c r="D372" s="12" t="s">
        <v>252</v>
      </c>
      <c r="E372" s="12" t="s">
        <v>1862</v>
      </c>
      <c r="F372" s="12" t="s">
        <v>56</v>
      </c>
      <c r="G372" s="12" t="s">
        <v>2713</v>
      </c>
      <c r="H372" s="12"/>
      <c r="I372" s="12"/>
      <c r="J372" s="12" t="s">
        <v>915</v>
      </c>
      <c r="K372" s="45">
        <v>45527</v>
      </c>
      <c r="L372" s="45">
        <v>45527</v>
      </c>
      <c r="M372" s="45">
        <v>45526</v>
      </c>
      <c r="N372" s="12" t="s">
        <v>59</v>
      </c>
      <c r="O372" s="12" t="s">
        <v>60</v>
      </c>
      <c r="P372" s="12"/>
      <c r="Q372" s="12"/>
      <c r="R372" s="12" t="s">
        <v>1886</v>
      </c>
      <c r="S372" s="12" t="s">
        <v>2707</v>
      </c>
      <c r="T372"/>
    </row>
    <row r="373" spans="1:20" ht="39" customHeight="1" x14ac:dyDescent="0.25">
      <c r="A373" s="12" t="s">
        <v>2714</v>
      </c>
      <c r="B373" s="12" t="s">
        <v>157</v>
      </c>
      <c r="C373" s="12" t="s">
        <v>1272</v>
      </c>
      <c r="D373" s="12" t="s">
        <v>236</v>
      </c>
      <c r="E373" s="12" t="s">
        <v>1862</v>
      </c>
      <c r="F373" s="12" t="s">
        <v>56</v>
      </c>
      <c r="G373" s="12" t="s">
        <v>2715</v>
      </c>
      <c r="H373" s="12"/>
      <c r="I373" s="12"/>
      <c r="J373" s="12" t="s">
        <v>1867</v>
      </c>
      <c r="K373" s="45">
        <v>43687</v>
      </c>
      <c r="L373" s="45">
        <v>43746</v>
      </c>
      <c r="M373" s="45">
        <v>43746</v>
      </c>
      <c r="N373" s="12" t="s">
        <v>91</v>
      </c>
      <c r="O373" s="12" t="s">
        <v>60</v>
      </c>
      <c r="P373" s="12"/>
      <c r="Q373" s="12"/>
      <c r="R373" s="12" t="s">
        <v>1871</v>
      </c>
      <c r="S373" s="12" t="s">
        <v>2707</v>
      </c>
      <c r="T373"/>
    </row>
    <row r="374" spans="1:20" ht="104.1" customHeight="1" x14ac:dyDescent="0.25">
      <c r="A374" s="12" t="s">
        <v>2716</v>
      </c>
      <c r="B374" s="12" t="s">
        <v>157</v>
      </c>
      <c r="C374" s="12" t="s">
        <v>1272</v>
      </c>
      <c r="D374" s="12" t="s">
        <v>252</v>
      </c>
      <c r="E374" s="12" t="s">
        <v>1862</v>
      </c>
      <c r="F374" s="12" t="s">
        <v>56</v>
      </c>
      <c r="G374" s="12" t="s">
        <v>2717</v>
      </c>
      <c r="H374" s="12"/>
      <c r="I374" s="12"/>
      <c r="J374" s="12" t="s">
        <v>915</v>
      </c>
      <c r="K374" s="45">
        <v>45429</v>
      </c>
      <c r="L374" s="45">
        <v>45429</v>
      </c>
      <c r="M374" s="45">
        <v>45428</v>
      </c>
      <c r="N374" s="12" t="s">
        <v>59</v>
      </c>
      <c r="O374" s="12" t="s">
        <v>60</v>
      </c>
      <c r="P374" s="12"/>
      <c r="Q374" s="12"/>
      <c r="R374" s="12" t="s">
        <v>1932</v>
      </c>
      <c r="S374" s="12"/>
      <c r="T374"/>
    </row>
    <row r="375" spans="1:20" ht="65.099999999999994" customHeight="1" x14ac:dyDescent="0.25">
      <c r="A375" s="12" t="s">
        <v>2718</v>
      </c>
      <c r="B375" s="12" t="s">
        <v>157</v>
      </c>
      <c r="C375" s="12" t="s">
        <v>1272</v>
      </c>
      <c r="D375" s="12" t="s">
        <v>228</v>
      </c>
      <c r="E375" s="12" t="s">
        <v>1862</v>
      </c>
      <c r="F375" s="12" t="s">
        <v>212</v>
      </c>
      <c r="G375" s="12" t="s">
        <v>2719</v>
      </c>
      <c r="H375" s="12"/>
      <c r="I375" s="12"/>
      <c r="J375" s="12"/>
      <c r="K375" s="45">
        <v>44383</v>
      </c>
      <c r="L375" s="45">
        <v>44383</v>
      </c>
      <c r="M375" s="45">
        <v>44383</v>
      </c>
      <c r="N375" s="12" t="s">
        <v>59</v>
      </c>
      <c r="O375" s="12" t="s">
        <v>60</v>
      </c>
      <c r="P375" s="12"/>
      <c r="Q375" s="12"/>
      <c r="R375" s="12" t="s">
        <v>1938</v>
      </c>
      <c r="S375" s="12" t="s">
        <v>2707</v>
      </c>
      <c r="T375"/>
    </row>
    <row r="376" spans="1:20" ht="409.5" x14ac:dyDescent="0.25">
      <c r="A376" s="12" t="s">
        <v>2720</v>
      </c>
      <c r="B376" s="12" t="s">
        <v>157</v>
      </c>
      <c r="C376" s="12" t="s">
        <v>1272</v>
      </c>
      <c r="D376" s="12" t="s">
        <v>252</v>
      </c>
      <c r="E376" s="12" t="s">
        <v>1862</v>
      </c>
      <c r="F376" s="12" t="s">
        <v>212</v>
      </c>
      <c r="G376" s="12" t="s">
        <v>2721</v>
      </c>
      <c r="H376" s="12"/>
      <c r="I376" s="12"/>
      <c r="J376" s="12" t="s">
        <v>2722</v>
      </c>
      <c r="K376" s="45">
        <v>45617</v>
      </c>
      <c r="L376" s="45">
        <v>45617</v>
      </c>
      <c r="M376" s="45">
        <v>45617</v>
      </c>
      <c r="N376" s="12" t="s">
        <v>59</v>
      </c>
      <c r="O376" s="12" t="s">
        <v>60</v>
      </c>
      <c r="P376" s="12"/>
      <c r="Q376" s="12"/>
      <c r="R376" s="12" t="s">
        <v>1963</v>
      </c>
      <c r="S376" s="12"/>
      <c r="T376"/>
    </row>
    <row r="377" spans="1:20" ht="409.5" x14ac:dyDescent="0.25">
      <c r="A377" s="12" t="s">
        <v>2723</v>
      </c>
      <c r="B377" s="12" t="s">
        <v>157</v>
      </c>
      <c r="C377" s="12" t="s">
        <v>1272</v>
      </c>
      <c r="D377" s="12" t="s">
        <v>228</v>
      </c>
      <c r="E377" s="12" t="s">
        <v>1862</v>
      </c>
      <c r="F377" s="12" t="s">
        <v>212</v>
      </c>
      <c r="G377" s="12" t="s">
        <v>2724</v>
      </c>
      <c r="H377" s="12"/>
      <c r="I377" s="12"/>
      <c r="J377" s="12"/>
      <c r="K377" s="45">
        <v>44383</v>
      </c>
      <c r="L377" s="45">
        <v>44383</v>
      </c>
      <c r="M377" s="45">
        <v>44383</v>
      </c>
      <c r="N377" s="12" t="s">
        <v>59</v>
      </c>
      <c r="O377" s="12" t="s">
        <v>60</v>
      </c>
      <c r="P377" s="12"/>
      <c r="Q377" s="12"/>
      <c r="R377" s="12" t="s">
        <v>1894</v>
      </c>
      <c r="S377" s="12" t="s">
        <v>2707</v>
      </c>
      <c r="T377"/>
    </row>
    <row r="378" spans="1:20" ht="165" x14ac:dyDescent="0.25">
      <c r="A378" s="12" t="s">
        <v>2725</v>
      </c>
      <c r="B378" s="12" t="s">
        <v>157</v>
      </c>
      <c r="C378" s="12" t="s">
        <v>1272</v>
      </c>
      <c r="D378" s="12" t="s">
        <v>126</v>
      </c>
      <c r="E378" s="12" t="s">
        <v>1883</v>
      </c>
      <c r="F378" s="12" t="s">
        <v>56</v>
      </c>
      <c r="G378" s="12" t="s">
        <v>1888</v>
      </c>
      <c r="H378" s="12" t="s">
        <v>2154</v>
      </c>
      <c r="I378" s="12"/>
      <c r="J378" s="12" t="s">
        <v>2001</v>
      </c>
      <c r="K378" s="45">
        <v>42667</v>
      </c>
      <c r="L378" s="45">
        <v>42626</v>
      </c>
      <c r="M378" s="45">
        <v>42661</v>
      </c>
      <c r="N378" s="12" t="s">
        <v>91</v>
      </c>
      <c r="O378" s="12" t="s">
        <v>60</v>
      </c>
      <c r="P378" s="12"/>
      <c r="Q378" s="12"/>
      <c r="R378" s="12" t="s">
        <v>1864</v>
      </c>
      <c r="S378" s="12" t="s">
        <v>2707</v>
      </c>
      <c r="T378"/>
    </row>
    <row r="379" spans="1:20" ht="409.5" x14ac:dyDescent="0.25">
      <c r="A379" s="12" t="s">
        <v>2726</v>
      </c>
      <c r="B379" s="12" t="s">
        <v>157</v>
      </c>
      <c r="C379" s="12" t="s">
        <v>1272</v>
      </c>
      <c r="D379" s="12" t="s">
        <v>236</v>
      </c>
      <c r="E379" s="12" t="s">
        <v>1862</v>
      </c>
      <c r="F379" s="12" t="s">
        <v>56</v>
      </c>
      <c r="G379" s="12" t="s">
        <v>2727</v>
      </c>
      <c r="H379" s="12"/>
      <c r="I379" s="12"/>
      <c r="J379" s="12" t="s">
        <v>1867</v>
      </c>
      <c r="K379" s="45">
        <v>43687</v>
      </c>
      <c r="L379" s="45">
        <v>43746</v>
      </c>
      <c r="M379" s="45">
        <v>43746</v>
      </c>
      <c r="N379" s="12" t="s">
        <v>59</v>
      </c>
      <c r="O379" s="12" t="s">
        <v>60</v>
      </c>
      <c r="P379" s="12"/>
      <c r="Q379" s="12"/>
      <c r="R379" s="12" t="s">
        <v>1874</v>
      </c>
      <c r="S379" s="12" t="s">
        <v>2707</v>
      </c>
      <c r="T379"/>
    </row>
    <row r="380" spans="1:20" ht="405" x14ac:dyDescent="0.25">
      <c r="A380" s="12" t="s">
        <v>2728</v>
      </c>
      <c r="B380" s="12" t="s">
        <v>157</v>
      </c>
      <c r="C380" s="12" t="s">
        <v>1272</v>
      </c>
      <c r="D380" s="12" t="s">
        <v>228</v>
      </c>
      <c r="E380" s="12" t="s">
        <v>1862</v>
      </c>
      <c r="F380" s="12" t="s">
        <v>56</v>
      </c>
      <c r="G380" s="12" t="s">
        <v>2729</v>
      </c>
      <c r="H380" s="12"/>
      <c r="I380" s="12"/>
      <c r="J380" s="12"/>
      <c r="K380" s="45">
        <v>44383</v>
      </c>
      <c r="L380" s="45">
        <v>44383</v>
      </c>
      <c r="M380" s="45">
        <v>44383</v>
      </c>
      <c r="N380" s="12" t="s">
        <v>59</v>
      </c>
      <c r="O380" s="12" t="s">
        <v>60</v>
      </c>
      <c r="P380" s="12"/>
      <c r="Q380" s="12"/>
      <c r="R380" s="12" t="s">
        <v>1904</v>
      </c>
      <c r="S380" s="12" t="s">
        <v>2707</v>
      </c>
      <c r="T380"/>
    </row>
    <row r="381" spans="1:20" ht="409.5" x14ac:dyDescent="0.25">
      <c r="A381" s="12" t="s">
        <v>2730</v>
      </c>
      <c r="B381" s="12" t="s">
        <v>157</v>
      </c>
      <c r="C381" s="12" t="s">
        <v>1272</v>
      </c>
      <c r="D381" s="12" t="s">
        <v>236</v>
      </c>
      <c r="E381" s="12" t="s">
        <v>1862</v>
      </c>
      <c r="F381" s="12" t="s">
        <v>56</v>
      </c>
      <c r="G381" s="12" t="s">
        <v>2731</v>
      </c>
      <c r="H381" s="12"/>
      <c r="I381" s="12"/>
      <c r="J381" s="12" t="s">
        <v>1867</v>
      </c>
      <c r="K381" s="45">
        <v>43687</v>
      </c>
      <c r="L381" s="45">
        <v>43746</v>
      </c>
      <c r="M381" s="45">
        <v>43746</v>
      </c>
      <c r="N381" s="12" t="s">
        <v>59</v>
      </c>
      <c r="O381" s="12" t="s">
        <v>60</v>
      </c>
      <c r="P381" s="12"/>
      <c r="Q381" s="12"/>
      <c r="R381" s="12" t="s">
        <v>1877</v>
      </c>
      <c r="S381" s="12" t="s">
        <v>2707</v>
      </c>
      <c r="T381"/>
    </row>
    <row r="382" spans="1:20" ht="409.5" x14ac:dyDescent="0.25">
      <c r="A382" s="12" t="s">
        <v>2732</v>
      </c>
      <c r="B382" s="12" t="s">
        <v>157</v>
      </c>
      <c r="C382" s="12" t="s">
        <v>1272</v>
      </c>
      <c r="D382" s="12" t="s">
        <v>220</v>
      </c>
      <c r="E382" s="12" t="s">
        <v>1862</v>
      </c>
      <c r="F382" s="12" t="s">
        <v>1307</v>
      </c>
      <c r="G382" s="12" t="s">
        <v>2733</v>
      </c>
      <c r="H382" s="12"/>
      <c r="I382" s="12"/>
      <c r="J382" s="12" t="s">
        <v>2131</v>
      </c>
      <c r="K382" s="45">
        <v>45245</v>
      </c>
      <c r="L382" s="45">
        <v>45245</v>
      </c>
      <c r="M382" s="45">
        <v>45244</v>
      </c>
      <c r="N382" s="12" t="s">
        <v>59</v>
      </c>
      <c r="O382" s="12" t="s">
        <v>60</v>
      </c>
      <c r="P382" s="12"/>
      <c r="Q382" s="12"/>
      <c r="R382" s="12" t="s">
        <v>1963</v>
      </c>
      <c r="S382" s="12"/>
      <c r="T382"/>
    </row>
    <row r="383" spans="1:20" ht="409.5" x14ac:dyDescent="0.25">
      <c r="A383" s="12" t="s">
        <v>2734</v>
      </c>
      <c r="B383" s="12" t="s">
        <v>157</v>
      </c>
      <c r="C383" s="12" t="s">
        <v>1272</v>
      </c>
      <c r="D383" s="12" t="s">
        <v>224</v>
      </c>
      <c r="E383" s="12" t="s">
        <v>1862</v>
      </c>
      <c r="F383" s="12" t="s">
        <v>212</v>
      </c>
      <c r="G383" s="12" t="s">
        <v>2735</v>
      </c>
      <c r="H383" s="12"/>
      <c r="I383" s="12"/>
      <c r="J383" s="12" t="s">
        <v>1381</v>
      </c>
      <c r="K383" s="45">
        <v>44783</v>
      </c>
      <c r="L383" s="45">
        <v>44783</v>
      </c>
      <c r="M383" s="45">
        <v>44783</v>
      </c>
      <c r="N383" s="12" t="s">
        <v>59</v>
      </c>
      <c r="O383" s="12" t="s">
        <v>60</v>
      </c>
      <c r="P383" s="12"/>
      <c r="Q383" s="12"/>
      <c r="R383" s="12" t="s">
        <v>1910</v>
      </c>
      <c r="S383" s="12" t="s">
        <v>2707</v>
      </c>
      <c r="T383"/>
    </row>
    <row r="384" spans="1:20" ht="409.5" x14ac:dyDescent="0.25">
      <c r="A384" s="12" t="s">
        <v>2736</v>
      </c>
      <c r="B384" s="12" t="s">
        <v>157</v>
      </c>
      <c r="C384" s="12" t="s">
        <v>1272</v>
      </c>
      <c r="D384" s="12" t="s">
        <v>224</v>
      </c>
      <c r="E384" s="12" t="s">
        <v>1862</v>
      </c>
      <c r="F384" s="12" t="s">
        <v>1307</v>
      </c>
      <c r="G384" s="12" t="s">
        <v>2737</v>
      </c>
      <c r="H384" s="12"/>
      <c r="I384" s="12"/>
      <c r="J384" s="12"/>
      <c r="K384" s="45">
        <v>44725</v>
      </c>
      <c r="L384" s="45">
        <v>44725</v>
      </c>
      <c r="M384" s="45">
        <v>44725</v>
      </c>
      <c r="N384" s="12" t="s">
        <v>59</v>
      </c>
      <c r="O384" s="12" t="s">
        <v>60</v>
      </c>
      <c r="P384" s="12"/>
      <c r="Q384" s="12"/>
      <c r="R384" s="12"/>
      <c r="S384" s="12" t="s">
        <v>2707</v>
      </c>
      <c r="T384"/>
    </row>
    <row r="385" spans="1:20" ht="360" x14ac:dyDescent="0.25">
      <c r="A385" s="12" t="s">
        <v>2738</v>
      </c>
      <c r="B385" s="12" t="s">
        <v>157</v>
      </c>
      <c r="C385" s="12" t="s">
        <v>1272</v>
      </c>
      <c r="D385" s="12" t="s">
        <v>224</v>
      </c>
      <c r="E385" s="12" t="s">
        <v>1862</v>
      </c>
      <c r="F385" s="12" t="s">
        <v>1307</v>
      </c>
      <c r="G385" s="12" t="s">
        <v>2739</v>
      </c>
      <c r="H385" s="12"/>
      <c r="I385" s="12"/>
      <c r="J385" s="12"/>
      <c r="K385" s="45">
        <v>44690</v>
      </c>
      <c r="L385" s="45">
        <v>44690</v>
      </c>
      <c r="M385" s="45">
        <v>44693</v>
      </c>
      <c r="N385" s="12" t="s">
        <v>59</v>
      </c>
      <c r="O385" s="12" t="s">
        <v>60</v>
      </c>
      <c r="P385" s="12"/>
      <c r="Q385" s="12"/>
      <c r="R385" s="12"/>
      <c r="S385" s="12" t="s">
        <v>2707</v>
      </c>
      <c r="T385"/>
    </row>
    <row r="386" spans="1:20" ht="409.5" x14ac:dyDescent="0.25">
      <c r="A386" s="12" t="s">
        <v>2740</v>
      </c>
      <c r="B386" s="12" t="s">
        <v>157</v>
      </c>
      <c r="C386" s="12" t="s">
        <v>1272</v>
      </c>
      <c r="D386" s="12" t="s">
        <v>220</v>
      </c>
      <c r="E386" s="12" t="s">
        <v>1862</v>
      </c>
      <c r="F386" s="12" t="s">
        <v>1307</v>
      </c>
      <c r="G386" s="12" t="s">
        <v>2741</v>
      </c>
      <c r="H386" s="12"/>
      <c r="I386" s="12"/>
      <c r="J386" s="12" t="s">
        <v>1381</v>
      </c>
      <c r="K386" s="45">
        <v>45173</v>
      </c>
      <c r="L386" s="45">
        <v>45173</v>
      </c>
      <c r="M386" s="45">
        <v>45170</v>
      </c>
      <c r="N386" s="12" t="s">
        <v>59</v>
      </c>
      <c r="O386" s="12" t="s">
        <v>60</v>
      </c>
      <c r="P386" s="12"/>
      <c r="Q386" s="12"/>
      <c r="R386" s="12" t="s">
        <v>1918</v>
      </c>
      <c r="S386" s="12" t="s">
        <v>2707</v>
      </c>
      <c r="T386"/>
    </row>
    <row r="387" spans="1:20" ht="405" x14ac:dyDescent="0.25">
      <c r="A387" s="12" t="s">
        <v>2742</v>
      </c>
      <c r="B387" s="12" t="s">
        <v>157</v>
      </c>
      <c r="C387" s="12" t="s">
        <v>1272</v>
      </c>
      <c r="D387" s="12" t="s">
        <v>232</v>
      </c>
      <c r="E387" s="12" t="s">
        <v>1862</v>
      </c>
      <c r="F387" s="12" t="s">
        <v>56</v>
      </c>
      <c r="G387" s="12" t="s">
        <v>2743</v>
      </c>
      <c r="H387" s="12"/>
      <c r="I387" s="12"/>
      <c r="J387" s="12" t="s">
        <v>1867</v>
      </c>
      <c r="K387" s="45">
        <v>43882</v>
      </c>
      <c r="L387" s="45">
        <v>43882</v>
      </c>
      <c r="M387" s="45">
        <v>43882</v>
      </c>
      <c r="N387" s="12" t="s">
        <v>59</v>
      </c>
      <c r="O387" s="12" t="s">
        <v>60</v>
      </c>
      <c r="P387" s="12"/>
      <c r="Q387" s="12"/>
      <c r="R387" s="12" t="s">
        <v>1868</v>
      </c>
      <c r="S387" s="12" t="s">
        <v>2707</v>
      </c>
      <c r="T387"/>
    </row>
    <row r="388" spans="1:20" ht="409.5" x14ac:dyDescent="0.25">
      <c r="A388" s="12" t="s">
        <v>2744</v>
      </c>
      <c r="B388" s="12" t="s">
        <v>157</v>
      </c>
      <c r="C388" s="12" t="s">
        <v>1272</v>
      </c>
      <c r="D388" s="12" t="s">
        <v>224</v>
      </c>
      <c r="E388" s="12" t="s">
        <v>1862</v>
      </c>
      <c r="F388" s="12" t="s">
        <v>1307</v>
      </c>
      <c r="G388" s="12" t="s">
        <v>2745</v>
      </c>
      <c r="H388" s="12"/>
      <c r="I388" s="12"/>
      <c r="J388" s="12" t="s">
        <v>90</v>
      </c>
      <c r="K388" s="45">
        <v>44690</v>
      </c>
      <c r="L388" s="45">
        <v>44690</v>
      </c>
      <c r="M388" s="45">
        <v>44693</v>
      </c>
      <c r="N388" s="12" t="s">
        <v>59</v>
      </c>
      <c r="O388" s="12" t="s">
        <v>60</v>
      </c>
      <c r="P388" s="12"/>
      <c r="Q388" s="12"/>
      <c r="R388" s="12"/>
      <c r="S388" s="12" t="s">
        <v>2707</v>
      </c>
      <c r="T388"/>
    </row>
    <row r="389" spans="1:20" ht="315" x14ac:dyDescent="0.25">
      <c r="A389" s="12" t="s">
        <v>2746</v>
      </c>
      <c r="B389" s="12" t="s">
        <v>163</v>
      </c>
      <c r="C389" s="12" t="s">
        <v>164</v>
      </c>
      <c r="D389" s="12" t="s">
        <v>236</v>
      </c>
      <c r="E389" s="12" t="s">
        <v>1862</v>
      </c>
      <c r="F389" s="12" t="s">
        <v>56</v>
      </c>
      <c r="G389" s="12" t="s">
        <v>1866</v>
      </c>
      <c r="H389" s="12"/>
      <c r="I389" s="12"/>
      <c r="J389" s="12" t="s">
        <v>1867</v>
      </c>
      <c r="K389" s="45">
        <v>43627</v>
      </c>
      <c r="L389" s="45">
        <v>43627</v>
      </c>
      <c r="M389" s="45">
        <v>43630</v>
      </c>
      <c r="N389" s="12" t="s">
        <v>59</v>
      </c>
      <c r="O389" s="12" t="s">
        <v>60</v>
      </c>
      <c r="P389" s="12"/>
      <c r="Q389" s="12"/>
      <c r="R389" s="12" t="s">
        <v>1868</v>
      </c>
      <c r="S389" s="12"/>
      <c r="T389"/>
    </row>
    <row r="390" spans="1:20" ht="360" x14ac:dyDescent="0.25">
      <c r="A390" s="12" t="s">
        <v>2747</v>
      </c>
      <c r="B390" s="12" t="s">
        <v>163</v>
      </c>
      <c r="C390" s="12" t="s">
        <v>164</v>
      </c>
      <c r="D390" s="12" t="s">
        <v>252</v>
      </c>
      <c r="E390" s="12" t="s">
        <v>1883</v>
      </c>
      <c r="F390" s="12" t="s">
        <v>212</v>
      </c>
      <c r="G390" s="12" t="s">
        <v>2748</v>
      </c>
      <c r="H390" s="12"/>
      <c r="I390" s="12"/>
      <c r="J390" s="12" t="s">
        <v>2131</v>
      </c>
      <c r="K390" s="45">
        <v>45383</v>
      </c>
      <c r="L390" s="45">
        <v>45133</v>
      </c>
      <c r="M390" s="45">
        <v>45364</v>
      </c>
      <c r="N390" s="12" t="s">
        <v>59</v>
      </c>
      <c r="O390" s="12" t="s">
        <v>60</v>
      </c>
      <c r="P390" s="12"/>
      <c r="Q390" s="12"/>
      <c r="R390" s="12" t="s">
        <v>1963</v>
      </c>
      <c r="S390" s="12" t="s">
        <v>2749</v>
      </c>
      <c r="T390"/>
    </row>
    <row r="391" spans="1:20" ht="409.5" x14ac:dyDescent="0.25">
      <c r="A391" s="12" t="s">
        <v>2750</v>
      </c>
      <c r="B391" s="12" t="s">
        <v>163</v>
      </c>
      <c r="C391" s="12" t="s">
        <v>164</v>
      </c>
      <c r="D391" s="12" t="s">
        <v>228</v>
      </c>
      <c r="E391" s="12" t="s">
        <v>1862</v>
      </c>
      <c r="F391" s="12" t="s">
        <v>56</v>
      </c>
      <c r="G391" s="12" t="s">
        <v>2751</v>
      </c>
      <c r="H391" s="12"/>
      <c r="I391" s="12"/>
      <c r="J391" s="12"/>
      <c r="K391" s="45">
        <v>44358</v>
      </c>
      <c r="L391" s="45">
        <v>44358</v>
      </c>
      <c r="M391" s="45">
        <v>44375</v>
      </c>
      <c r="N391" s="12" t="s">
        <v>59</v>
      </c>
      <c r="O391" s="12" t="s">
        <v>60</v>
      </c>
      <c r="P391" s="12"/>
      <c r="Q391" s="12"/>
      <c r="R391" s="12" t="s">
        <v>1904</v>
      </c>
      <c r="S391" s="12"/>
      <c r="T391"/>
    </row>
    <row r="392" spans="1:20" ht="409.5" x14ac:dyDescent="0.25">
      <c r="A392" s="12" t="s">
        <v>2752</v>
      </c>
      <c r="B392" s="12" t="s">
        <v>163</v>
      </c>
      <c r="C392" s="12" t="s">
        <v>164</v>
      </c>
      <c r="D392" s="12" t="s">
        <v>228</v>
      </c>
      <c r="E392" s="12" t="s">
        <v>1862</v>
      </c>
      <c r="F392" s="12" t="s">
        <v>212</v>
      </c>
      <c r="G392" s="12" t="s">
        <v>2753</v>
      </c>
      <c r="H392" s="12"/>
      <c r="I392" s="12"/>
      <c r="J392" s="12"/>
      <c r="K392" s="45">
        <v>44358</v>
      </c>
      <c r="L392" s="45">
        <v>44358</v>
      </c>
      <c r="M392" s="45">
        <v>44375</v>
      </c>
      <c r="N392" s="12" t="s">
        <v>59</v>
      </c>
      <c r="O392" s="12" t="s">
        <v>60</v>
      </c>
      <c r="P392" s="12"/>
      <c r="Q392" s="12"/>
      <c r="R392" s="12" t="s">
        <v>1938</v>
      </c>
      <c r="S392" s="12"/>
      <c r="T392"/>
    </row>
    <row r="393" spans="1:20" ht="180" x14ac:dyDescent="0.25">
      <c r="A393" s="12" t="s">
        <v>2754</v>
      </c>
      <c r="B393" s="12" t="s">
        <v>163</v>
      </c>
      <c r="C393" s="12" t="s">
        <v>164</v>
      </c>
      <c r="D393" s="12" t="s">
        <v>236</v>
      </c>
      <c r="E393" s="12" t="s">
        <v>1862</v>
      </c>
      <c r="F393" s="12" t="s">
        <v>56</v>
      </c>
      <c r="G393" s="12" t="s">
        <v>2046</v>
      </c>
      <c r="H393" s="12"/>
      <c r="I393" s="12"/>
      <c r="J393" s="12" t="s">
        <v>2755</v>
      </c>
      <c r="K393" s="45">
        <v>43521</v>
      </c>
      <c r="L393" s="45">
        <v>43521</v>
      </c>
      <c r="M393" s="45">
        <v>43560</v>
      </c>
      <c r="N393" s="12" t="s">
        <v>91</v>
      </c>
      <c r="O393" s="12" t="s">
        <v>60</v>
      </c>
      <c r="P393" s="12"/>
      <c r="Q393" s="12"/>
      <c r="R393" s="12" t="s">
        <v>1929</v>
      </c>
      <c r="S393" s="12"/>
      <c r="T393"/>
    </row>
    <row r="394" spans="1:20" ht="225" x14ac:dyDescent="0.25">
      <c r="A394" s="12" t="s">
        <v>2756</v>
      </c>
      <c r="B394" s="12" t="s">
        <v>163</v>
      </c>
      <c r="C394" s="12" t="s">
        <v>164</v>
      </c>
      <c r="D394" s="12" t="s">
        <v>224</v>
      </c>
      <c r="E394" s="12" t="s">
        <v>1862</v>
      </c>
      <c r="F394" s="12" t="s">
        <v>212</v>
      </c>
      <c r="G394" s="12" t="s">
        <v>2757</v>
      </c>
      <c r="H394" s="12"/>
      <c r="I394" s="12"/>
      <c r="J394" s="12"/>
      <c r="K394" s="45">
        <v>44670</v>
      </c>
      <c r="L394" s="45">
        <v>44670</v>
      </c>
      <c r="M394" s="45">
        <v>44683</v>
      </c>
      <c r="N394" s="12" t="s">
        <v>59</v>
      </c>
      <c r="O394" s="12" t="s">
        <v>60</v>
      </c>
      <c r="P394" s="12"/>
      <c r="Q394" s="12"/>
      <c r="R394" s="12" t="s">
        <v>1877</v>
      </c>
      <c r="S394" s="12"/>
      <c r="T394"/>
    </row>
    <row r="395" spans="1:20" ht="270" x14ac:dyDescent="0.25">
      <c r="A395" s="12" t="s">
        <v>2758</v>
      </c>
      <c r="B395" s="12" t="s">
        <v>163</v>
      </c>
      <c r="C395" s="12" t="s">
        <v>164</v>
      </c>
      <c r="D395" s="12" t="s">
        <v>224</v>
      </c>
      <c r="E395" s="12" t="s">
        <v>1883</v>
      </c>
      <c r="F395" s="12" t="s">
        <v>212</v>
      </c>
      <c r="G395" s="12" t="s">
        <v>2759</v>
      </c>
      <c r="H395" s="12"/>
      <c r="I395" s="12"/>
      <c r="J395" s="12" t="s">
        <v>90</v>
      </c>
      <c r="K395" s="45">
        <v>44958</v>
      </c>
      <c r="L395" s="45">
        <v>44851</v>
      </c>
      <c r="M395" s="45">
        <v>44879</v>
      </c>
      <c r="N395" s="12" t="s">
        <v>59</v>
      </c>
      <c r="O395" s="12" t="s">
        <v>60</v>
      </c>
      <c r="P395" s="12"/>
      <c r="Q395" s="12"/>
      <c r="R395" s="12" t="s">
        <v>1910</v>
      </c>
      <c r="S395" s="12"/>
      <c r="T395"/>
    </row>
    <row r="396" spans="1:20" ht="409.5" x14ac:dyDescent="0.25">
      <c r="A396" s="12" t="s">
        <v>2760</v>
      </c>
      <c r="B396" s="12" t="s">
        <v>163</v>
      </c>
      <c r="C396" s="12" t="s">
        <v>164</v>
      </c>
      <c r="D396" s="12" t="s">
        <v>220</v>
      </c>
      <c r="E396" s="12" t="s">
        <v>1883</v>
      </c>
      <c r="F396" s="12" t="s">
        <v>56</v>
      </c>
      <c r="G396" s="12" t="s">
        <v>2761</v>
      </c>
      <c r="H396" s="12"/>
      <c r="I396" s="12"/>
      <c r="J396" s="12" t="s">
        <v>1889</v>
      </c>
      <c r="K396" s="45">
        <v>45167</v>
      </c>
      <c r="L396" s="45">
        <v>45159</v>
      </c>
      <c r="M396" s="45">
        <v>45161</v>
      </c>
      <c r="N396" s="12" t="s">
        <v>59</v>
      </c>
      <c r="O396" s="12" t="s">
        <v>60</v>
      </c>
      <c r="P396" s="12"/>
      <c r="Q396" s="12"/>
      <c r="R396" s="12" t="s">
        <v>1978</v>
      </c>
      <c r="S396" s="12"/>
      <c r="T396"/>
    </row>
    <row r="397" spans="1:20" ht="409.5" x14ac:dyDescent="0.25">
      <c r="A397" s="12" t="s">
        <v>2762</v>
      </c>
      <c r="B397" s="12" t="s">
        <v>163</v>
      </c>
      <c r="C397" s="12" t="s">
        <v>164</v>
      </c>
      <c r="D397" s="12" t="s">
        <v>228</v>
      </c>
      <c r="E397" s="12" t="s">
        <v>1862</v>
      </c>
      <c r="F397" s="12" t="s">
        <v>212</v>
      </c>
      <c r="G397" s="12" t="s">
        <v>2763</v>
      </c>
      <c r="H397" s="12"/>
      <c r="I397" s="12"/>
      <c r="J397" s="12"/>
      <c r="K397" s="45">
        <v>44358</v>
      </c>
      <c r="L397" s="45">
        <v>44358</v>
      </c>
      <c r="M397" s="45">
        <v>44375</v>
      </c>
      <c r="N397" s="12" t="s">
        <v>59</v>
      </c>
      <c r="O397" s="12" t="s">
        <v>60</v>
      </c>
      <c r="P397" s="12"/>
      <c r="Q397" s="12"/>
      <c r="R397" s="12" t="s">
        <v>1922</v>
      </c>
      <c r="S397" s="12"/>
      <c r="T397"/>
    </row>
    <row r="398" spans="1:20" ht="210" x14ac:dyDescent="0.25">
      <c r="A398" s="12" t="s">
        <v>2764</v>
      </c>
      <c r="B398" s="12" t="s">
        <v>163</v>
      </c>
      <c r="C398" s="12" t="s">
        <v>164</v>
      </c>
      <c r="D398" s="12" t="s">
        <v>252</v>
      </c>
      <c r="E398" s="12" t="s">
        <v>1862</v>
      </c>
      <c r="F398" s="12" t="s">
        <v>212</v>
      </c>
      <c r="G398" s="12" t="s">
        <v>2765</v>
      </c>
      <c r="H398" s="12"/>
      <c r="I398" s="12"/>
      <c r="J398" s="12" t="s">
        <v>2272</v>
      </c>
      <c r="K398" s="45"/>
      <c r="L398" s="45">
        <v>45544</v>
      </c>
      <c r="M398" s="45">
        <v>45546</v>
      </c>
      <c r="N398" s="12" t="s">
        <v>59</v>
      </c>
      <c r="O398" s="12" t="s">
        <v>60</v>
      </c>
      <c r="P398" s="12"/>
      <c r="Q398" s="12"/>
      <c r="R398" s="12" t="s">
        <v>1942</v>
      </c>
      <c r="S398" s="12"/>
      <c r="T398"/>
    </row>
    <row r="399" spans="1:20" ht="180" x14ac:dyDescent="0.25">
      <c r="A399" s="12" t="s">
        <v>2766</v>
      </c>
      <c r="B399" s="12" t="s">
        <v>163</v>
      </c>
      <c r="C399" s="12" t="s">
        <v>164</v>
      </c>
      <c r="D399" s="12" t="s">
        <v>228</v>
      </c>
      <c r="E399" s="12" t="s">
        <v>1883</v>
      </c>
      <c r="F399" s="12" t="s">
        <v>212</v>
      </c>
      <c r="G399" s="12" t="s">
        <v>2767</v>
      </c>
      <c r="H399" s="12"/>
      <c r="I399" s="12"/>
      <c r="J399" s="12" t="s">
        <v>1867</v>
      </c>
      <c r="K399" s="45">
        <v>44438</v>
      </c>
      <c r="L399" s="45">
        <v>44438</v>
      </c>
      <c r="M399" s="45">
        <v>44462</v>
      </c>
      <c r="N399" s="12" t="s">
        <v>59</v>
      </c>
      <c r="O399" s="12" t="s">
        <v>60</v>
      </c>
      <c r="P399" s="12"/>
      <c r="Q399" s="12"/>
      <c r="R399" s="12" t="s">
        <v>1874</v>
      </c>
      <c r="S399" s="12" t="s">
        <v>2768</v>
      </c>
      <c r="T399"/>
    </row>
    <row r="400" spans="1:20" ht="409.5" x14ac:dyDescent="0.25">
      <c r="A400" s="12" t="s">
        <v>2769</v>
      </c>
      <c r="B400" s="12" t="s">
        <v>163</v>
      </c>
      <c r="C400" s="12" t="s">
        <v>164</v>
      </c>
      <c r="D400" s="12" t="s">
        <v>55</v>
      </c>
      <c r="E400" s="12" t="s">
        <v>1862</v>
      </c>
      <c r="F400" s="12" t="s">
        <v>56</v>
      </c>
      <c r="G400" s="12" t="s">
        <v>1870</v>
      </c>
      <c r="H400" s="12"/>
      <c r="I400" s="12"/>
      <c r="J400" s="12"/>
      <c r="K400" s="45">
        <v>43206</v>
      </c>
      <c r="L400" s="45">
        <v>43206</v>
      </c>
      <c r="M400" s="45">
        <v>43216</v>
      </c>
      <c r="N400" s="12" t="s">
        <v>91</v>
      </c>
      <c r="O400" s="12" t="s">
        <v>60</v>
      </c>
      <c r="P400" s="12"/>
      <c r="Q400" s="12"/>
      <c r="R400" s="12" t="s">
        <v>1871</v>
      </c>
      <c r="S400" s="12"/>
      <c r="T400"/>
    </row>
    <row r="401" spans="1:20" ht="225" x14ac:dyDescent="0.25">
      <c r="A401" s="12" t="s">
        <v>2770</v>
      </c>
      <c r="B401" s="12" t="s">
        <v>163</v>
      </c>
      <c r="C401" s="12" t="s">
        <v>164</v>
      </c>
      <c r="D401" s="12" t="s">
        <v>252</v>
      </c>
      <c r="E401" s="12" t="s">
        <v>1862</v>
      </c>
      <c r="F401" s="12" t="s">
        <v>212</v>
      </c>
      <c r="G401" s="12" t="s">
        <v>2771</v>
      </c>
      <c r="H401" s="12"/>
      <c r="I401" s="12"/>
      <c r="J401" s="12" t="s">
        <v>2272</v>
      </c>
      <c r="K401" s="45"/>
      <c r="L401" s="45">
        <v>45544</v>
      </c>
      <c r="M401" s="45">
        <v>45546</v>
      </c>
      <c r="N401" s="12" t="s">
        <v>59</v>
      </c>
      <c r="O401" s="12" t="s">
        <v>60</v>
      </c>
      <c r="P401" s="12"/>
      <c r="Q401" s="12"/>
      <c r="R401" s="12" t="s">
        <v>1886</v>
      </c>
      <c r="S401" s="12"/>
      <c r="T401"/>
    </row>
    <row r="402" spans="1:20" ht="60" x14ac:dyDescent="0.25">
      <c r="A402" s="12" t="s">
        <v>2772</v>
      </c>
      <c r="B402" s="12" t="s">
        <v>163</v>
      </c>
      <c r="C402" s="12" t="s">
        <v>164</v>
      </c>
      <c r="D402" s="12" t="s">
        <v>83</v>
      </c>
      <c r="E402" s="12" t="s">
        <v>1883</v>
      </c>
      <c r="F402" s="12" t="s">
        <v>56</v>
      </c>
      <c r="G402" s="12" t="s">
        <v>2210</v>
      </c>
      <c r="H402" s="12" t="s">
        <v>2154</v>
      </c>
      <c r="I402" s="12"/>
      <c r="J402" s="12" t="s">
        <v>2001</v>
      </c>
      <c r="K402" s="45">
        <v>42713</v>
      </c>
      <c r="L402" s="45">
        <v>42713</v>
      </c>
      <c r="M402" s="45">
        <v>42767</v>
      </c>
      <c r="N402" s="12" t="s">
        <v>91</v>
      </c>
      <c r="O402" s="12" t="s">
        <v>60</v>
      </c>
      <c r="P402" s="12"/>
      <c r="Q402" s="12"/>
      <c r="R402" s="12" t="s">
        <v>1864</v>
      </c>
      <c r="S402" s="12" t="s">
        <v>2773</v>
      </c>
      <c r="T402"/>
    </row>
    <row r="403" spans="1:20" ht="180" x14ac:dyDescent="0.25">
      <c r="A403" s="12" t="s">
        <v>2774</v>
      </c>
      <c r="B403" s="12" t="s">
        <v>163</v>
      </c>
      <c r="C403" s="12" t="s">
        <v>164</v>
      </c>
      <c r="D403" s="12" t="s">
        <v>228</v>
      </c>
      <c r="E403" s="12" t="s">
        <v>1862</v>
      </c>
      <c r="F403" s="12" t="s">
        <v>212</v>
      </c>
      <c r="G403" s="12" t="s">
        <v>2775</v>
      </c>
      <c r="H403" s="12"/>
      <c r="I403" s="12"/>
      <c r="J403" s="12"/>
      <c r="K403" s="45"/>
      <c r="L403" s="45">
        <v>44438</v>
      </c>
      <c r="M403" s="45">
        <v>44462</v>
      </c>
      <c r="N403" s="12" t="s">
        <v>59</v>
      </c>
      <c r="O403" s="12" t="s">
        <v>60</v>
      </c>
      <c r="P403" s="12"/>
      <c r="Q403" s="12"/>
      <c r="R403" s="12" t="s">
        <v>1868</v>
      </c>
      <c r="S403" s="12"/>
      <c r="T403"/>
    </row>
    <row r="404" spans="1:20" ht="180" x14ac:dyDescent="0.25">
      <c r="A404" s="12" t="s">
        <v>2776</v>
      </c>
      <c r="B404" s="12" t="s">
        <v>163</v>
      </c>
      <c r="C404" s="12" t="s">
        <v>164</v>
      </c>
      <c r="D404" s="12" t="s">
        <v>224</v>
      </c>
      <c r="E404" s="12" t="s">
        <v>1862</v>
      </c>
      <c r="F404" s="12" t="s">
        <v>212</v>
      </c>
      <c r="G404" s="12" t="s">
        <v>2777</v>
      </c>
      <c r="H404" s="12"/>
      <c r="I404" s="12"/>
      <c r="J404" s="12" t="s">
        <v>1381</v>
      </c>
      <c r="K404" s="45">
        <v>44879</v>
      </c>
      <c r="L404" s="45">
        <v>44851</v>
      </c>
      <c r="M404" s="45">
        <v>44879</v>
      </c>
      <c r="N404" s="12" t="s">
        <v>59</v>
      </c>
      <c r="O404" s="12" t="s">
        <v>60</v>
      </c>
      <c r="P404" s="12"/>
      <c r="Q404" s="12"/>
      <c r="R404" s="12" t="s">
        <v>1900</v>
      </c>
      <c r="S404" s="12"/>
      <c r="T404"/>
    </row>
    <row r="405" spans="1:20" ht="409.5" x14ac:dyDescent="0.25">
      <c r="A405" s="12" t="s">
        <v>2778</v>
      </c>
      <c r="B405" s="12" t="s">
        <v>163</v>
      </c>
      <c r="C405" s="12" t="s">
        <v>164</v>
      </c>
      <c r="D405" s="12" t="s">
        <v>236</v>
      </c>
      <c r="E405" s="12" t="s">
        <v>1862</v>
      </c>
      <c r="F405" s="12" t="s">
        <v>56</v>
      </c>
      <c r="G405" s="12" t="s">
        <v>2779</v>
      </c>
      <c r="H405" s="12"/>
      <c r="I405" s="12"/>
      <c r="J405" s="12" t="s">
        <v>1867</v>
      </c>
      <c r="K405" s="45">
        <v>43521</v>
      </c>
      <c r="L405" s="45">
        <v>43521</v>
      </c>
      <c r="M405" s="45">
        <v>43560</v>
      </c>
      <c r="N405" s="12" t="s">
        <v>59</v>
      </c>
      <c r="O405" s="12" t="s">
        <v>60</v>
      </c>
      <c r="P405" s="12"/>
      <c r="Q405" s="12"/>
      <c r="R405" s="12" t="s">
        <v>1877</v>
      </c>
      <c r="S405" s="12"/>
      <c r="T405"/>
    </row>
    <row r="406" spans="1:20" ht="165" x14ac:dyDescent="0.25">
      <c r="A406" s="12" t="s">
        <v>2780</v>
      </c>
      <c r="B406" s="12" t="s">
        <v>163</v>
      </c>
      <c r="C406" s="12" t="s">
        <v>164</v>
      </c>
      <c r="D406" s="12" t="s">
        <v>126</v>
      </c>
      <c r="E406" s="12" t="s">
        <v>1883</v>
      </c>
      <c r="F406" s="12" t="s">
        <v>56</v>
      </c>
      <c r="G406" s="12" t="s">
        <v>2781</v>
      </c>
      <c r="H406" s="12" t="s">
        <v>2782</v>
      </c>
      <c r="I406" s="12" t="s">
        <v>2783</v>
      </c>
      <c r="J406" s="12" t="s">
        <v>1880</v>
      </c>
      <c r="K406" s="45">
        <v>42767</v>
      </c>
      <c r="L406" s="45"/>
      <c r="M406" s="45">
        <v>42713</v>
      </c>
      <c r="N406" s="12" t="s">
        <v>91</v>
      </c>
      <c r="O406" s="12" t="s">
        <v>60</v>
      </c>
      <c r="P406" s="12"/>
      <c r="Q406" s="12"/>
      <c r="R406" s="12" t="s">
        <v>2678</v>
      </c>
      <c r="S406" s="12"/>
      <c r="T406"/>
    </row>
    <row r="407" spans="1:20" ht="390" x14ac:dyDescent="0.25">
      <c r="A407" s="12" t="s">
        <v>2784</v>
      </c>
      <c r="B407" s="12" t="s">
        <v>163</v>
      </c>
      <c r="C407" s="12" t="s">
        <v>164</v>
      </c>
      <c r="D407" s="12" t="s">
        <v>224</v>
      </c>
      <c r="E407" s="12" t="s">
        <v>1862</v>
      </c>
      <c r="F407" s="12" t="s">
        <v>212</v>
      </c>
      <c r="G407" s="12" t="s">
        <v>2785</v>
      </c>
      <c r="H407" s="12"/>
      <c r="I407" s="12"/>
      <c r="J407" s="12" t="s">
        <v>90</v>
      </c>
      <c r="K407" s="45">
        <v>44817</v>
      </c>
      <c r="L407" s="45">
        <v>44817</v>
      </c>
      <c r="M407" s="45">
        <v>44830</v>
      </c>
      <c r="N407" s="12" t="s">
        <v>59</v>
      </c>
      <c r="O407" s="12" t="s">
        <v>60</v>
      </c>
      <c r="P407" s="12"/>
      <c r="Q407" s="12"/>
      <c r="R407" s="12" t="s">
        <v>1868</v>
      </c>
      <c r="S407" s="12"/>
      <c r="T407"/>
    </row>
    <row r="408" spans="1:20" ht="240" x14ac:dyDescent="0.25">
      <c r="A408" s="12" t="s">
        <v>2786</v>
      </c>
      <c r="B408" s="12" t="s">
        <v>163</v>
      </c>
      <c r="C408" s="12" t="s">
        <v>164</v>
      </c>
      <c r="D408" s="12" t="s">
        <v>224</v>
      </c>
      <c r="E408" s="12" t="s">
        <v>1883</v>
      </c>
      <c r="F408" s="12" t="s">
        <v>212</v>
      </c>
      <c r="G408" s="12" t="s">
        <v>2787</v>
      </c>
      <c r="H408" s="12"/>
      <c r="I408" s="12"/>
      <c r="J408" s="12" t="s">
        <v>90</v>
      </c>
      <c r="K408" s="45">
        <v>44951</v>
      </c>
      <c r="L408" s="45">
        <v>44851</v>
      </c>
      <c r="M408" s="45">
        <v>44879</v>
      </c>
      <c r="N408" s="12" t="s">
        <v>59</v>
      </c>
      <c r="O408" s="12" t="s">
        <v>60</v>
      </c>
      <c r="P408" s="12"/>
      <c r="Q408" s="12"/>
      <c r="R408" s="12" t="s">
        <v>1986</v>
      </c>
      <c r="S408" s="12" t="s">
        <v>2788</v>
      </c>
      <c r="T408"/>
    </row>
    <row r="409" spans="1:20" ht="409.5" x14ac:dyDescent="0.25">
      <c r="A409" s="12" t="s">
        <v>2789</v>
      </c>
      <c r="B409" s="12" t="s">
        <v>163</v>
      </c>
      <c r="C409" s="12" t="s">
        <v>164</v>
      </c>
      <c r="D409" s="12" t="s">
        <v>228</v>
      </c>
      <c r="E409" s="12" t="s">
        <v>1862</v>
      </c>
      <c r="F409" s="12" t="s">
        <v>212</v>
      </c>
      <c r="G409" s="12" t="s">
        <v>2790</v>
      </c>
      <c r="H409" s="12"/>
      <c r="I409" s="12"/>
      <c r="J409" s="12"/>
      <c r="K409" s="45">
        <v>44358</v>
      </c>
      <c r="L409" s="45">
        <v>44358</v>
      </c>
      <c r="M409" s="45">
        <v>44375</v>
      </c>
      <c r="N409" s="12" t="s">
        <v>59</v>
      </c>
      <c r="O409" s="12" t="s">
        <v>60</v>
      </c>
      <c r="P409" s="12"/>
      <c r="Q409" s="12"/>
      <c r="R409" s="12" t="s">
        <v>1894</v>
      </c>
      <c r="S409" s="12"/>
      <c r="T409"/>
    </row>
    <row r="410" spans="1:20" ht="409.5" x14ac:dyDescent="0.25">
      <c r="A410" s="12" t="s">
        <v>2791</v>
      </c>
      <c r="B410" s="12" t="s">
        <v>163</v>
      </c>
      <c r="C410" s="12" t="s">
        <v>164</v>
      </c>
      <c r="D410" s="12" t="s">
        <v>236</v>
      </c>
      <c r="E410" s="12" t="s">
        <v>1883</v>
      </c>
      <c r="F410" s="12" t="s">
        <v>56</v>
      </c>
      <c r="G410" s="12" t="s">
        <v>2792</v>
      </c>
      <c r="H410" s="12" t="s">
        <v>2793</v>
      </c>
      <c r="I410" s="12"/>
      <c r="J410" s="12" t="s">
        <v>1867</v>
      </c>
      <c r="K410" s="45">
        <v>43504</v>
      </c>
      <c r="L410" s="45">
        <v>43500</v>
      </c>
      <c r="M410" s="45">
        <v>43504</v>
      </c>
      <c r="N410" s="12" t="s">
        <v>59</v>
      </c>
      <c r="O410" s="12" t="s">
        <v>60</v>
      </c>
      <c r="P410" s="12"/>
      <c r="Q410" s="12"/>
      <c r="R410" s="12" t="s">
        <v>1874</v>
      </c>
      <c r="S410" s="12" t="s">
        <v>2794</v>
      </c>
      <c r="T410"/>
    </row>
    <row r="411" spans="1:20" ht="409.5" x14ac:dyDescent="0.25">
      <c r="A411" s="12" t="s">
        <v>2795</v>
      </c>
      <c r="B411" s="12" t="s">
        <v>166</v>
      </c>
      <c r="C411" s="12" t="s">
        <v>2796</v>
      </c>
      <c r="D411" s="12" t="s">
        <v>236</v>
      </c>
      <c r="E411" s="12" t="s">
        <v>1883</v>
      </c>
      <c r="F411" s="12" t="s">
        <v>56</v>
      </c>
      <c r="G411" s="12" t="s">
        <v>2150</v>
      </c>
      <c r="H411" s="12" t="s">
        <v>2797</v>
      </c>
      <c r="I411" s="12"/>
      <c r="J411" s="12" t="s">
        <v>1867</v>
      </c>
      <c r="K411" s="45">
        <v>43599</v>
      </c>
      <c r="L411" s="45">
        <v>43599</v>
      </c>
      <c r="M411" s="45">
        <v>43601</v>
      </c>
      <c r="N411" s="12" t="s">
        <v>59</v>
      </c>
      <c r="O411" s="12" t="s">
        <v>60</v>
      </c>
      <c r="P411" s="12"/>
      <c r="Q411" s="12"/>
      <c r="R411" s="12" t="s">
        <v>1877</v>
      </c>
      <c r="S411" s="12" t="s">
        <v>2798</v>
      </c>
      <c r="T411"/>
    </row>
    <row r="412" spans="1:20" ht="409.5" x14ac:dyDescent="0.25">
      <c r="A412" s="12" t="s">
        <v>2799</v>
      </c>
      <c r="B412" s="12" t="s">
        <v>166</v>
      </c>
      <c r="C412" s="12" t="s">
        <v>523</v>
      </c>
      <c r="D412" s="12" t="s">
        <v>220</v>
      </c>
      <c r="E412" s="12" t="s">
        <v>1883</v>
      </c>
      <c r="F412" s="12" t="s">
        <v>1307</v>
      </c>
      <c r="G412" s="12" t="s">
        <v>2800</v>
      </c>
      <c r="H412" s="12" t="s">
        <v>2801</v>
      </c>
      <c r="I412" s="12"/>
      <c r="J412" s="12" t="s">
        <v>2802</v>
      </c>
      <c r="K412" s="45">
        <v>45108</v>
      </c>
      <c r="L412" s="45">
        <v>45033</v>
      </c>
      <c r="M412" s="45">
        <v>45057</v>
      </c>
      <c r="N412" s="12" t="s">
        <v>59</v>
      </c>
      <c r="O412" s="12" t="s">
        <v>60</v>
      </c>
      <c r="P412" s="12"/>
      <c r="Q412" s="12"/>
      <c r="R412" s="12" t="s">
        <v>1900</v>
      </c>
      <c r="S412" s="12" t="s">
        <v>2803</v>
      </c>
      <c r="T412"/>
    </row>
    <row r="413" spans="1:20" ht="180" x14ac:dyDescent="0.25">
      <c r="A413" s="12" t="s">
        <v>2804</v>
      </c>
      <c r="B413" s="12" t="s">
        <v>166</v>
      </c>
      <c r="C413" s="12" t="s">
        <v>523</v>
      </c>
      <c r="D413" s="12" t="s">
        <v>252</v>
      </c>
      <c r="E413" s="12" t="s">
        <v>1862</v>
      </c>
      <c r="F413" s="12" t="s">
        <v>1307</v>
      </c>
      <c r="G413" s="12" t="s">
        <v>2805</v>
      </c>
      <c r="H413" s="12"/>
      <c r="I413" s="12"/>
      <c r="J413" s="12"/>
      <c r="K413" s="45">
        <v>45334</v>
      </c>
      <c r="L413" s="45">
        <v>45334</v>
      </c>
      <c r="M413" s="45">
        <v>45356</v>
      </c>
      <c r="N413" s="12" t="s">
        <v>59</v>
      </c>
      <c r="O413" s="12" t="s">
        <v>60</v>
      </c>
      <c r="P413" s="12"/>
      <c r="Q413" s="12"/>
      <c r="R413" s="12" t="s">
        <v>1963</v>
      </c>
      <c r="S413" s="12" t="s">
        <v>2806</v>
      </c>
      <c r="T413"/>
    </row>
    <row r="414" spans="1:20" ht="409.5" x14ac:dyDescent="0.25">
      <c r="A414" s="12" t="s">
        <v>2807</v>
      </c>
      <c r="B414" s="12" t="s">
        <v>166</v>
      </c>
      <c r="C414" s="12" t="s">
        <v>523</v>
      </c>
      <c r="D414" s="12" t="s">
        <v>220</v>
      </c>
      <c r="E414" s="12" t="s">
        <v>1883</v>
      </c>
      <c r="F414" s="12" t="s">
        <v>1307</v>
      </c>
      <c r="G414" s="12" t="s">
        <v>2808</v>
      </c>
      <c r="H414" s="12" t="s">
        <v>2809</v>
      </c>
      <c r="I414" s="12"/>
      <c r="J414" s="12" t="s">
        <v>2802</v>
      </c>
      <c r="K414" s="45">
        <v>45108</v>
      </c>
      <c r="L414" s="45">
        <v>45033</v>
      </c>
      <c r="M414" s="45">
        <v>45057</v>
      </c>
      <c r="N414" s="12" t="s">
        <v>59</v>
      </c>
      <c r="O414" s="12" t="s">
        <v>60</v>
      </c>
      <c r="P414" s="12"/>
      <c r="Q414" s="12"/>
      <c r="R414" s="12" t="s">
        <v>1981</v>
      </c>
      <c r="S414" s="12" t="s">
        <v>2803</v>
      </c>
      <c r="T414"/>
    </row>
    <row r="415" spans="1:20" ht="390" x14ac:dyDescent="0.25">
      <c r="A415" s="12" t="s">
        <v>2810</v>
      </c>
      <c r="B415" s="12" t="s">
        <v>166</v>
      </c>
      <c r="C415" s="12" t="s">
        <v>523</v>
      </c>
      <c r="D415" s="12" t="s">
        <v>252</v>
      </c>
      <c r="E415" s="12" t="s">
        <v>1862</v>
      </c>
      <c r="F415" s="12" t="s">
        <v>212</v>
      </c>
      <c r="G415" s="12" t="s">
        <v>2811</v>
      </c>
      <c r="H415" s="12" t="s">
        <v>2812</v>
      </c>
      <c r="I415" s="12"/>
      <c r="J415" s="12" t="s">
        <v>2272</v>
      </c>
      <c r="K415" s="45"/>
      <c r="L415" s="45"/>
      <c r="M415" s="45">
        <v>45638</v>
      </c>
      <c r="N415" s="12" t="s">
        <v>59</v>
      </c>
      <c r="O415" s="12" t="s">
        <v>60</v>
      </c>
      <c r="P415" s="12"/>
      <c r="Q415" s="12"/>
      <c r="R415" s="12" t="s">
        <v>1886</v>
      </c>
      <c r="S415" s="12" t="s">
        <v>2813</v>
      </c>
      <c r="T415"/>
    </row>
    <row r="416" spans="1:20" ht="105" x14ac:dyDescent="0.25">
      <c r="A416" s="12" t="s">
        <v>2814</v>
      </c>
      <c r="B416" s="12" t="s">
        <v>166</v>
      </c>
      <c r="C416" s="12" t="s">
        <v>2796</v>
      </c>
      <c r="D416" s="12" t="s">
        <v>228</v>
      </c>
      <c r="E416" s="12" t="s">
        <v>1883</v>
      </c>
      <c r="F416" s="12" t="s">
        <v>212</v>
      </c>
      <c r="G416" s="12" t="s">
        <v>2815</v>
      </c>
      <c r="H416" s="12"/>
      <c r="I416" s="12"/>
      <c r="J416" s="12"/>
      <c r="K416" s="45">
        <v>44509</v>
      </c>
      <c r="L416" s="45">
        <v>44504</v>
      </c>
      <c r="M416" s="45">
        <v>44509</v>
      </c>
      <c r="N416" s="12" t="s">
        <v>59</v>
      </c>
      <c r="O416" s="12" t="s">
        <v>60</v>
      </c>
      <c r="P416" s="12"/>
      <c r="Q416" s="12"/>
      <c r="R416" s="12" t="s">
        <v>1904</v>
      </c>
      <c r="S416" s="12"/>
      <c r="T416"/>
    </row>
    <row r="417" spans="1:20" ht="360" x14ac:dyDescent="0.25">
      <c r="A417" s="12" t="s">
        <v>2816</v>
      </c>
      <c r="B417" s="12" t="s">
        <v>166</v>
      </c>
      <c r="C417" s="12" t="s">
        <v>523</v>
      </c>
      <c r="D417" s="12" t="s">
        <v>220</v>
      </c>
      <c r="E417" s="12" t="s">
        <v>1883</v>
      </c>
      <c r="F417" s="12" t="s">
        <v>1307</v>
      </c>
      <c r="G417" s="12" t="s">
        <v>2817</v>
      </c>
      <c r="H417" s="12"/>
      <c r="I417" s="12"/>
      <c r="J417" s="12" t="s">
        <v>2818</v>
      </c>
      <c r="K417" s="45">
        <v>45108</v>
      </c>
      <c r="L417" s="45">
        <v>45033</v>
      </c>
      <c r="M417" s="45">
        <v>45057</v>
      </c>
      <c r="N417" s="12" t="s">
        <v>59</v>
      </c>
      <c r="O417" s="12" t="s">
        <v>60</v>
      </c>
      <c r="P417" s="12"/>
      <c r="Q417" s="12"/>
      <c r="R417" s="12" t="s">
        <v>1986</v>
      </c>
      <c r="S417" s="12"/>
      <c r="T417"/>
    </row>
    <row r="418" spans="1:20" ht="330" x14ac:dyDescent="0.25">
      <c r="A418" s="12" t="s">
        <v>2819</v>
      </c>
      <c r="B418" s="12" t="s">
        <v>166</v>
      </c>
      <c r="C418" s="12" t="s">
        <v>523</v>
      </c>
      <c r="D418" s="12" t="s">
        <v>252</v>
      </c>
      <c r="E418" s="12" t="s">
        <v>1862</v>
      </c>
      <c r="F418" s="12" t="s">
        <v>212</v>
      </c>
      <c r="G418" s="12" t="s">
        <v>2820</v>
      </c>
      <c r="H418" s="12"/>
      <c r="I418" s="12"/>
      <c r="J418" s="12" t="s">
        <v>2272</v>
      </c>
      <c r="K418" s="45">
        <v>45624</v>
      </c>
      <c r="L418" s="45">
        <v>45590</v>
      </c>
      <c r="M418" s="45">
        <v>45624</v>
      </c>
      <c r="N418" s="12" t="s">
        <v>59</v>
      </c>
      <c r="O418" s="12" t="s">
        <v>60</v>
      </c>
      <c r="P418" s="12"/>
      <c r="Q418" s="12"/>
      <c r="R418" s="12"/>
      <c r="S418" s="12" t="s">
        <v>2821</v>
      </c>
      <c r="T418"/>
    </row>
    <row r="419" spans="1:20" ht="330" x14ac:dyDescent="0.25">
      <c r="A419" s="12" t="s">
        <v>2822</v>
      </c>
      <c r="B419" s="12" t="s">
        <v>166</v>
      </c>
      <c r="C419" s="12" t="s">
        <v>523</v>
      </c>
      <c r="D419" s="12" t="s">
        <v>252</v>
      </c>
      <c r="E419" s="12" t="s">
        <v>1862</v>
      </c>
      <c r="F419" s="12" t="s">
        <v>56</v>
      </c>
      <c r="G419" s="12" t="s">
        <v>2823</v>
      </c>
      <c r="H419" s="12"/>
      <c r="I419" s="12"/>
      <c r="J419" s="12" t="s">
        <v>915</v>
      </c>
      <c r="K419" s="45">
        <v>45470</v>
      </c>
      <c r="L419" s="45">
        <v>45470</v>
      </c>
      <c r="M419" s="45">
        <v>45532</v>
      </c>
      <c r="N419" s="12" t="s">
        <v>59</v>
      </c>
      <c r="O419" s="12" t="s">
        <v>60</v>
      </c>
      <c r="P419" s="12"/>
      <c r="Q419" s="12"/>
      <c r="R419" s="12" t="s">
        <v>1932</v>
      </c>
      <c r="S419" s="12" t="s">
        <v>2824</v>
      </c>
      <c r="T419"/>
    </row>
    <row r="420" spans="1:20" ht="165" x14ac:dyDescent="0.25">
      <c r="A420" s="12" t="s">
        <v>2825</v>
      </c>
      <c r="B420" s="12" t="s">
        <v>166</v>
      </c>
      <c r="C420" s="12" t="s">
        <v>2796</v>
      </c>
      <c r="D420" s="12" t="s">
        <v>55</v>
      </c>
      <c r="E420" s="12" t="s">
        <v>1883</v>
      </c>
      <c r="F420" s="12" t="s">
        <v>56</v>
      </c>
      <c r="G420" s="12" t="s">
        <v>1934</v>
      </c>
      <c r="H420" s="12" t="s">
        <v>1935</v>
      </c>
      <c r="I420" s="12"/>
      <c r="J420" s="12" t="s">
        <v>1880</v>
      </c>
      <c r="K420" s="45">
        <v>43236</v>
      </c>
      <c r="L420" s="45">
        <v>43236</v>
      </c>
      <c r="M420" s="45">
        <v>43236</v>
      </c>
      <c r="N420" s="12" t="s">
        <v>91</v>
      </c>
      <c r="O420" s="12" t="s">
        <v>60</v>
      </c>
      <c r="P420" s="12"/>
      <c r="Q420" s="12"/>
      <c r="R420" s="12" t="s">
        <v>1871</v>
      </c>
      <c r="S420" s="12"/>
      <c r="T420"/>
    </row>
    <row r="421" spans="1:20" ht="300" x14ac:dyDescent="0.25">
      <c r="A421" s="12" t="s">
        <v>2826</v>
      </c>
      <c r="B421" s="12" t="s">
        <v>166</v>
      </c>
      <c r="C421" s="12" t="s">
        <v>2796</v>
      </c>
      <c r="D421" s="12" t="s">
        <v>236</v>
      </c>
      <c r="E421" s="12" t="s">
        <v>1883</v>
      </c>
      <c r="F421" s="12" t="s">
        <v>56</v>
      </c>
      <c r="G421" s="12" t="s">
        <v>1924</v>
      </c>
      <c r="H421" s="12" t="s">
        <v>2827</v>
      </c>
      <c r="I421" s="12"/>
      <c r="J421" s="12" t="s">
        <v>1867</v>
      </c>
      <c r="K421" s="45">
        <v>43599</v>
      </c>
      <c r="L421" s="45">
        <v>43599</v>
      </c>
      <c r="M421" s="45">
        <v>43601</v>
      </c>
      <c r="N421" s="12" t="s">
        <v>59</v>
      </c>
      <c r="O421" s="12" t="s">
        <v>60</v>
      </c>
      <c r="P421" s="12"/>
      <c r="Q421" s="12"/>
      <c r="R421" s="12" t="s">
        <v>1868</v>
      </c>
      <c r="S421" s="12" t="s">
        <v>2798</v>
      </c>
      <c r="T421"/>
    </row>
    <row r="422" spans="1:20" ht="409.5" x14ac:dyDescent="0.25">
      <c r="A422" s="12" t="s">
        <v>2828</v>
      </c>
      <c r="B422" s="12" t="s">
        <v>166</v>
      </c>
      <c r="C422" s="12" t="s">
        <v>2796</v>
      </c>
      <c r="D422" s="12" t="s">
        <v>236</v>
      </c>
      <c r="E422" s="12" t="s">
        <v>1883</v>
      </c>
      <c r="F422" s="12" t="s">
        <v>56</v>
      </c>
      <c r="G422" s="12" t="s">
        <v>2027</v>
      </c>
      <c r="H422" s="12"/>
      <c r="I422" s="12"/>
      <c r="J422" s="12" t="s">
        <v>1867</v>
      </c>
      <c r="K422" s="45">
        <v>43599</v>
      </c>
      <c r="L422" s="45">
        <v>43599</v>
      </c>
      <c r="M422" s="45">
        <v>43601</v>
      </c>
      <c r="N422" s="12" t="s">
        <v>59</v>
      </c>
      <c r="O422" s="12" t="s">
        <v>60</v>
      </c>
      <c r="P422" s="12"/>
      <c r="Q422" s="12"/>
      <c r="R422" s="12" t="s">
        <v>1874</v>
      </c>
      <c r="S422" s="12" t="s">
        <v>2798</v>
      </c>
      <c r="T422"/>
    </row>
    <row r="423" spans="1:20" ht="409.5" x14ac:dyDescent="0.25">
      <c r="A423" s="12" t="s">
        <v>2829</v>
      </c>
      <c r="B423" s="12" t="s">
        <v>166</v>
      </c>
      <c r="C423" s="12" t="s">
        <v>523</v>
      </c>
      <c r="D423" s="12" t="s">
        <v>220</v>
      </c>
      <c r="E423" s="12" t="s">
        <v>1883</v>
      </c>
      <c r="F423" s="12" t="s">
        <v>1307</v>
      </c>
      <c r="G423" s="12" t="s">
        <v>2830</v>
      </c>
      <c r="H423" s="12" t="s">
        <v>2831</v>
      </c>
      <c r="I423" s="12" t="s">
        <v>2832</v>
      </c>
      <c r="J423" s="12" t="s">
        <v>2802</v>
      </c>
      <c r="K423" s="45">
        <v>45108</v>
      </c>
      <c r="L423" s="45">
        <v>45033</v>
      </c>
      <c r="M423" s="45">
        <v>45057</v>
      </c>
      <c r="N423" s="12" t="s">
        <v>59</v>
      </c>
      <c r="O423" s="12" t="s">
        <v>60</v>
      </c>
      <c r="P423" s="12"/>
      <c r="Q423" s="12"/>
      <c r="R423" s="12" t="s">
        <v>1910</v>
      </c>
      <c r="S423" s="12" t="s">
        <v>2803</v>
      </c>
      <c r="T423"/>
    </row>
    <row r="424" spans="1:20" ht="90" x14ac:dyDescent="0.25">
      <c r="A424" s="12" t="s">
        <v>2833</v>
      </c>
      <c r="B424" s="12" t="s">
        <v>166</v>
      </c>
      <c r="C424" s="12" t="s">
        <v>523</v>
      </c>
      <c r="D424" s="12" t="s">
        <v>220</v>
      </c>
      <c r="E424" s="12" t="s">
        <v>1862</v>
      </c>
      <c r="F424" s="12" t="s">
        <v>1307</v>
      </c>
      <c r="G424" s="12" t="s">
        <v>2834</v>
      </c>
      <c r="H424" s="12"/>
      <c r="I424" s="12"/>
      <c r="J424" s="12"/>
      <c r="K424" s="45">
        <v>45259</v>
      </c>
      <c r="L424" s="45">
        <v>45259</v>
      </c>
      <c r="M424" s="45">
        <v>45279</v>
      </c>
      <c r="N424" s="12" t="s">
        <v>59</v>
      </c>
      <c r="O424" s="12" t="s">
        <v>60</v>
      </c>
      <c r="P424" s="12"/>
      <c r="Q424" s="12"/>
      <c r="R424" s="12" t="s">
        <v>1918</v>
      </c>
      <c r="S424" s="12" t="s">
        <v>2835</v>
      </c>
      <c r="T424"/>
    </row>
    <row r="425" spans="1:20" ht="409.5" x14ac:dyDescent="0.25">
      <c r="A425" s="12" t="s">
        <v>2836</v>
      </c>
      <c r="B425" s="12" t="s">
        <v>169</v>
      </c>
      <c r="C425" s="12" t="s">
        <v>170</v>
      </c>
      <c r="D425" s="12" t="s">
        <v>252</v>
      </c>
      <c r="E425" s="12" t="s">
        <v>1862</v>
      </c>
      <c r="F425" s="12" t="s">
        <v>56</v>
      </c>
      <c r="G425" s="12" t="s">
        <v>2837</v>
      </c>
      <c r="H425" s="12"/>
      <c r="I425" s="12"/>
      <c r="J425" s="12" t="s">
        <v>915</v>
      </c>
      <c r="K425" s="45">
        <v>45457</v>
      </c>
      <c r="L425" s="45">
        <v>45457</v>
      </c>
      <c r="M425" s="45">
        <v>45469</v>
      </c>
      <c r="N425" s="12" t="s">
        <v>59</v>
      </c>
      <c r="O425" s="12" t="s">
        <v>60</v>
      </c>
      <c r="P425" s="12"/>
      <c r="Q425" s="12"/>
      <c r="R425" s="12" t="s">
        <v>1932</v>
      </c>
      <c r="S425" s="12" t="s">
        <v>2838</v>
      </c>
      <c r="T425"/>
    </row>
    <row r="426" spans="1:20" ht="409.5" x14ac:dyDescent="0.25">
      <c r="A426" s="12" t="s">
        <v>2839</v>
      </c>
      <c r="B426" s="12" t="s">
        <v>169</v>
      </c>
      <c r="C426" s="12" t="s">
        <v>170</v>
      </c>
      <c r="D426" s="12" t="s">
        <v>236</v>
      </c>
      <c r="E426" s="12" t="s">
        <v>1862</v>
      </c>
      <c r="F426" s="12" t="s">
        <v>56</v>
      </c>
      <c r="G426" s="12" t="s">
        <v>2840</v>
      </c>
      <c r="H426" s="12"/>
      <c r="I426" s="12"/>
      <c r="J426" s="12" t="s">
        <v>1867</v>
      </c>
      <c r="K426" s="45">
        <v>43364</v>
      </c>
      <c r="L426" s="45">
        <v>43364</v>
      </c>
      <c r="M426" s="45">
        <v>43487</v>
      </c>
      <c r="N426" s="12" t="s">
        <v>59</v>
      </c>
      <c r="O426" s="12" t="s">
        <v>60</v>
      </c>
      <c r="P426" s="12"/>
      <c r="Q426" s="12"/>
      <c r="R426" s="12" t="s">
        <v>1874</v>
      </c>
      <c r="S426" s="12"/>
      <c r="T426"/>
    </row>
    <row r="427" spans="1:20" ht="409.5" x14ac:dyDescent="0.25">
      <c r="A427" s="12" t="s">
        <v>2841</v>
      </c>
      <c r="B427" s="12" t="s">
        <v>169</v>
      </c>
      <c r="C427" s="12" t="s">
        <v>170</v>
      </c>
      <c r="D427" s="12" t="s">
        <v>220</v>
      </c>
      <c r="E427" s="12" t="s">
        <v>1862</v>
      </c>
      <c r="F427" s="12" t="s">
        <v>1307</v>
      </c>
      <c r="G427" s="12" t="s">
        <v>2842</v>
      </c>
      <c r="H427" s="12"/>
      <c r="I427" s="12"/>
      <c r="J427" s="12" t="s">
        <v>2843</v>
      </c>
      <c r="K427" s="45">
        <v>45281</v>
      </c>
      <c r="L427" s="45">
        <v>45281</v>
      </c>
      <c r="M427" s="45">
        <v>45323</v>
      </c>
      <c r="N427" s="12" t="s">
        <v>59</v>
      </c>
      <c r="O427" s="12" t="s">
        <v>60</v>
      </c>
      <c r="P427" s="12"/>
      <c r="Q427" s="12"/>
      <c r="R427" s="12" t="s">
        <v>1963</v>
      </c>
      <c r="S427" s="12" t="s">
        <v>2844</v>
      </c>
      <c r="T427"/>
    </row>
    <row r="428" spans="1:20" ht="360" x14ac:dyDescent="0.25">
      <c r="A428" s="12" t="s">
        <v>2845</v>
      </c>
      <c r="B428" s="12" t="s">
        <v>169</v>
      </c>
      <c r="C428" s="12" t="s">
        <v>170</v>
      </c>
      <c r="D428" s="12" t="s">
        <v>252</v>
      </c>
      <c r="E428" s="12" t="s">
        <v>1862</v>
      </c>
      <c r="F428" s="12" t="s">
        <v>212</v>
      </c>
      <c r="G428" s="12" t="s">
        <v>2846</v>
      </c>
      <c r="H428" s="12"/>
      <c r="I428" s="12"/>
      <c r="J428" s="12" t="s">
        <v>2272</v>
      </c>
      <c r="K428" s="45">
        <v>45555</v>
      </c>
      <c r="L428" s="45">
        <v>45555</v>
      </c>
      <c r="M428" s="45">
        <v>45565</v>
      </c>
      <c r="N428" s="12" t="s">
        <v>59</v>
      </c>
      <c r="O428" s="12" t="s">
        <v>60</v>
      </c>
      <c r="P428" s="12"/>
      <c r="Q428" s="12"/>
      <c r="R428" s="12" t="s">
        <v>1942</v>
      </c>
      <c r="S428" s="12" t="s">
        <v>2847</v>
      </c>
      <c r="T428"/>
    </row>
    <row r="429" spans="1:20" ht="409.5" x14ac:dyDescent="0.25">
      <c r="A429" s="12" t="s">
        <v>2848</v>
      </c>
      <c r="B429" s="12" t="s">
        <v>169</v>
      </c>
      <c r="C429" s="12" t="s">
        <v>170</v>
      </c>
      <c r="D429" s="12" t="s">
        <v>55</v>
      </c>
      <c r="E429" s="12" t="s">
        <v>1862</v>
      </c>
      <c r="F429" s="12" t="s">
        <v>56</v>
      </c>
      <c r="G429" s="12" t="s">
        <v>2849</v>
      </c>
      <c r="H429" s="12"/>
      <c r="I429" s="12"/>
      <c r="J429" s="12" t="s">
        <v>1867</v>
      </c>
      <c r="K429" s="45">
        <v>43175</v>
      </c>
      <c r="L429" s="45">
        <v>43175</v>
      </c>
      <c r="M429" s="45">
        <v>43195</v>
      </c>
      <c r="N429" s="12" t="s">
        <v>91</v>
      </c>
      <c r="O429" s="12" t="s">
        <v>60</v>
      </c>
      <c r="P429" s="12"/>
      <c r="Q429" s="12"/>
      <c r="R429" s="12" t="s">
        <v>1871</v>
      </c>
      <c r="S429" s="12"/>
      <c r="T429"/>
    </row>
    <row r="430" spans="1:20" ht="409.5" x14ac:dyDescent="0.25">
      <c r="A430" s="12" t="s">
        <v>2850</v>
      </c>
      <c r="B430" s="12" t="s">
        <v>169</v>
      </c>
      <c r="C430" s="12" t="s">
        <v>170</v>
      </c>
      <c r="D430" s="12" t="s">
        <v>220</v>
      </c>
      <c r="E430" s="12" t="s">
        <v>1862</v>
      </c>
      <c r="F430" s="12" t="s">
        <v>56</v>
      </c>
      <c r="G430" s="12" t="s">
        <v>2851</v>
      </c>
      <c r="H430" s="12"/>
      <c r="I430" s="12"/>
      <c r="J430" s="12" t="s">
        <v>2021</v>
      </c>
      <c r="K430" s="45">
        <v>45195</v>
      </c>
      <c r="L430" s="45">
        <v>45195</v>
      </c>
      <c r="M430" s="45">
        <v>45202</v>
      </c>
      <c r="N430" s="12" t="s">
        <v>59</v>
      </c>
      <c r="O430" s="12" t="s">
        <v>60</v>
      </c>
      <c r="P430" s="12"/>
      <c r="Q430" s="12"/>
      <c r="R430" s="12" t="s">
        <v>1918</v>
      </c>
      <c r="S430" s="12"/>
      <c r="T430"/>
    </row>
    <row r="431" spans="1:20" ht="360" x14ac:dyDescent="0.25">
      <c r="A431" s="12" t="s">
        <v>2852</v>
      </c>
      <c r="B431" s="12" t="s">
        <v>169</v>
      </c>
      <c r="C431" s="12" t="s">
        <v>170</v>
      </c>
      <c r="D431" s="12" t="s">
        <v>236</v>
      </c>
      <c r="E431" s="12" t="s">
        <v>1862</v>
      </c>
      <c r="F431" s="12" t="s">
        <v>56</v>
      </c>
      <c r="G431" s="12" t="s">
        <v>2853</v>
      </c>
      <c r="H431" s="12"/>
      <c r="I431" s="12"/>
      <c r="J431" s="12" t="s">
        <v>1867</v>
      </c>
      <c r="K431" s="45">
        <v>43553</v>
      </c>
      <c r="L431" s="45">
        <v>43553</v>
      </c>
      <c r="M431" s="45">
        <v>43635</v>
      </c>
      <c r="N431" s="12" t="s">
        <v>59</v>
      </c>
      <c r="O431" s="12" t="s">
        <v>60</v>
      </c>
      <c r="P431" s="12"/>
      <c r="Q431" s="12"/>
      <c r="R431" s="12" t="s">
        <v>1868</v>
      </c>
      <c r="S431" s="12"/>
      <c r="T431"/>
    </row>
    <row r="432" spans="1:20" ht="409.5" x14ac:dyDescent="0.25">
      <c r="A432" s="12" t="s">
        <v>2854</v>
      </c>
      <c r="B432" s="12" t="s">
        <v>169</v>
      </c>
      <c r="C432" s="12" t="s">
        <v>170</v>
      </c>
      <c r="D432" s="12" t="s">
        <v>252</v>
      </c>
      <c r="E432" s="12" t="s">
        <v>1862</v>
      </c>
      <c r="F432" s="12" t="s">
        <v>212</v>
      </c>
      <c r="G432" s="12" t="s">
        <v>2855</v>
      </c>
      <c r="H432" s="12"/>
      <c r="I432" s="12"/>
      <c r="J432" s="12" t="s">
        <v>1885</v>
      </c>
      <c r="K432" s="45">
        <v>45632</v>
      </c>
      <c r="L432" s="45">
        <v>45632</v>
      </c>
      <c r="M432" s="45">
        <v>45649</v>
      </c>
      <c r="N432" s="12" t="s">
        <v>59</v>
      </c>
      <c r="O432" s="12" t="s">
        <v>60</v>
      </c>
      <c r="P432" s="12"/>
      <c r="Q432" s="12"/>
      <c r="R432" s="12" t="s">
        <v>1963</v>
      </c>
      <c r="S432" s="12" t="s">
        <v>2856</v>
      </c>
      <c r="T432"/>
    </row>
    <row r="433" spans="1:20" ht="165" x14ac:dyDescent="0.25">
      <c r="A433" s="12" t="s">
        <v>2857</v>
      </c>
      <c r="B433" s="12" t="s">
        <v>169</v>
      </c>
      <c r="C433" s="12" t="s">
        <v>170</v>
      </c>
      <c r="D433" s="12" t="s">
        <v>228</v>
      </c>
      <c r="E433" s="12" t="s">
        <v>1862</v>
      </c>
      <c r="F433" s="12" t="s">
        <v>212</v>
      </c>
      <c r="G433" s="12" t="s">
        <v>2858</v>
      </c>
      <c r="H433" s="12"/>
      <c r="I433" s="12"/>
      <c r="J433" s="12"/>
      <c r="K433" s="45">
        <v>44540</v>
      </c>
      <c r="L433" s="45">
        <v>44540</v>
      </c>
      <c r="M433" s="45">
        <v>44552</v>
      </c>
      <c r="N433" s="12" t="s">
        <v>59</v>
      </c>
      <c r="O433" s="12" t="s">
        <v>60</v>
      </c>
      <c r="P433" s="12"/>
      <c r="Q433" s="12"/>
      <c r="R433" s="12" t="s">
        <v>1868</v>
      </c>
      <c r="S433" s="12"/>
      <c r="T433"/>
    </row>
    <row r="434" spans="1:20" ht="180" x14ac:dyDescent="0.25">
      <c r="A434" s="12" t="s">
        <v>2859</v>
      </c>
      <c r="B434" s="12" t="s">
        <v>169</v>
      </c>
      <c r="C434" s="12" t="s">
        <v>170</v>
      </c>
      <c r="D434" s="12" t="s">
        <v>252</v>
      </c>
      <c r="E434" s="12" t="s">
        <v>1862</v>
      </c>
      <c r="F434" s="12" t="s">
        <v>212</v>
      </c>
      <c r="G434" s="12" t="s">
        <v>2860</v>
      </c>
      <c r="H434" s="12" t="s">
        <v>2861</v>
      </c>
      <c r="I434" s="12"/>
      <c r="J434" s="12" t="s">
        <v>2272</v>
      </c>
      <c r="K434" s="45">
        <v>45632</v>
      </c>
      <c r="L434" s="45">
        <v>45632</v>
      </c>
      <c r="M434" s="45">
        <v>45649</v>
      </c>
      <c r="N434" s="12" t="s">
        <v>59</v>
      </c>
      <c r="O434" s="12" t="s">
        <v>60</v>
      </c>
      <c r="P434" s="12"/>
      <c r="Q434" s="12"/>
      <c r="R434" s="12" t="s">
        <v>1986</v>
      </c>
      <c r="S434" s="12" t="s">
        <v>2856</v>
      </c>
      <c r="T434"/>
    </row>
    <row r="435" spans="1:20" ht="390" x14ac:dyDescent="0.25">
      <c r="A435" s="12" t="s">
        <v>2862</v>
      </c>
      <c r="B435" s="12" t="s">
        <v>169</v>
      </c>
      <c r="C435" s="12" t="s">
        <v>170</v>
      </c>
      <c r="D435" s="12" t="s">
        <v>252</v>
      </c>
      <c r="E435" s="12" t="s">
        <v>1862</v>
      </c>
      <c r="F435" s="12" t="s">
        <v>212</v>
      </c>
      <c r="G435" s="12" t="s">
        <v>2863</v>
      </c>
      <c r="H435" s="12"/>
      <c r="I435" s="12"/>
      <c r="J435" s="12" t="s">
        <v>2272</v>
      </c>
      <c r="K435" s="45">
        <v>45555</v>
      </c>
      <c r="L435" s="45">
        <v>45555</v>
      </c>
      <c r="M435" s="45">
        <v>45565</v>
      </c>
      <c r="N435" s="12" t="s">
        <v>59</v>
      </c>
      <c r="O435" s="12" t="s">
        <v>60</v>
      </c>
      <c r="P435" s="12"/>
      <c r="Q435" s="12"/>
      <c r="R435" s="12" t="s">
        <v>1886</v>
      </c>
      <c r="S435" s="12" t="s">
        <v>2847</v>
      </c>
      <c r="T435"/>
    </row>
    <row r="436" spans="1:20" ht="195" x14ac:dyDescent="0.25">
      <c r="A436" s="12" t="s">
        <v>2864</v>
      </c>
      <c r="B436" s="12" t="s">
        <v>169</v>
      </c>
      <c r="C436" s="12" t="s">
        <v>170</v>
      </c>
      <c r="D436" s="12" t="s">
        <v>126</v>
      </c>
      <c r="E436" s="12" t="s">
        <v>1862</v>
      </c>
      <c r="F436" s="12" t="s">
        <v>56</v>
      </c>
      <c r="G436" s="12" t="s">
        <v>1879</v>
      </c>
      <c r="H436" s="12"/>
      <c r="I436" s="12"/>
      <c r="J436" s="12" t="s">
        <v>1867</v>
      </c>
      <c r="K436" s="45">
        <v>42503</v>
      </c>
      <c r="L436" s="45">
        <v>42503</v>
      </c>
      <c r="M436" s="45">
        <v>42611</v>
      </c>
      <c r="N436" s="12" t="s">
        <v>91</v>
      </c>
      <c r="O436" s="12" t="s">
        <v>60</v>
      </c>
      <c r="P436" s="12"/>
      <c r="Q436" s="12"/>
      <c r="R436" s="12" t="s">
        <v>1881</v>
      </c>
      <c r="S436" s="12"/>
      <c r="T436"/>
    </row>
    <row r="437" spans="1:20" ht="255" x14ac:dyDescent="0.25">
      <c r="A437" s="12" t="s">
        <v>2865</v>
      </c>
      <c r="B437" s="12" t="s">
        <v>169</v>
      </c>
      <c r="C437" s="12" t="s">
        <v>170</v>
      </c>
      <c r="D437" s="12" t="s">
        <v>228</v>
      </c>
      <c r="E437" s="12" t="s">
        <v>1862</v>
      </c>
      <c r="F437" s="12" t="s">
        <v>212</v>
      </c>
      <c r="G437" s="12" t="s">
        <v>2866</v>
      </c>
      <c r="H437" s="12"/>
      <c r="I437" s="12"/>
      <c r="J437" s="12"/>
      <c r="K437" s="45">
        <v>44467</v>
      </c>
      <c r="L437" s="45">
        <v>44467</v>
      </c>
      <c r="M437" s="45">
        <v>44488</v>
      </c>
      <c r="N437" s="12" t="s">
        <v>59</v>
      </c>
      <c r="O437" s="12" t="s">
        <v>60</v>
      </c>
      <c r="P437" s="12"/>
      <c r="Q437" s="12"/>
      <c r="R437" s="12" t="s">
        <v>1904</v>
      </c>
      <c r="S437" s="12"/>
      <c r="T437"/>
    </row>
    <row r="438" spans="1:20" ht="345" x14ac:dyDescent="0.25">
      <c r="A438" s="12" t="s">
        <v>2867</v>
      </c>
      <c r="B438" s="12" t="s">
        <v>169</v>
      </c>
      <c r="C438" s="12" t="s">
        <v>170</v>
      </c>
      <c r="D438" s="12" t="s">
        <v>126</v>
      </c>
      <c r="E438" s="12" t="s">
        <v>1862</v>
      </c>
      <c r="F438" s="12" t="s">
        <v>56</v>
      </c>
      <c r="G438" s="12" t="s">
        <v>2868</v>
      </c>
      <c r="H438" s="12"/>
      <c r="I438" s="12"/>
      <c r="J438" s="12" t="s">
        <v>2001</v>
      </c>
      <c r="K438" s="45">
        <v>42592</v>
      </c>
      <c r="L438" s="45">
        <v>42592</v>
      </c>
      <c r="M438" s="45">
        <v>42633</v>
      </c>
      <c r="N438" s="12" t="s">
        <v>91</v>
      </c>
      <c r="O438" s="12" t="s">
        <v>60</v>
      </c>
      <c r="P438" s="12"/>
      <c r="Q438" s="12"/>
      <c r="R438" s="12" t="s">
        <v>1864</v>
      </c>
      <c r="S438" s="12"/>
      <c r="T438"/>
    </row>
    <row r="439" spans="1:20" ht="345" x14ac:dyDescent="0.25">
      <c r="A439" s="12" t="s">
        <v>2869</v>
      </c>
      <c r="B439" s="12" t="s">
        <v>169</v>
      </c>
      <c r="C439" s="12" t="s">
        <v>170</v>
      </c>
      <c r="D439" s="12" t="s">
        <v>224</v>
      </c>
      <c r="E439" s="12" t="s">
        <v>1862</v>
      </c>
      <c r="F439" s="12" t="s">
        <v>212</v>
      </c>
      <c r="G439" s="12" t="s">
        <v>2870</v>
      </c>
      <c r="H439" s="12"/>
      <c r="I439" s="12"/>
      <c r="J439" s="12"/>
      <c r="K439" s="45">
        <v>44645</v>
      </c>
      <c r="L439" s="45">
        <v>44645</v>
      </c>
      <c r="M439" s="45">
        <v>44708</v>
      </c>
      <c r="N439" s="12" t="s">
        <v>59</v>
      </c>
      <c r="O439" s="12" t="s">
        <v>60</v>
      </c>
      <c r="P439" s="12"/>
      <c r="Q439" s="12"/>
      <c r="R439" s="12" t="s">
        <v>1900</v>
      </c>
      <c r="S439" s="12"/>
      <c r="T439"/>
    </row>
    <row r="440" spans="1:20" ht="409.5" x14ac:dyDescent="0.25">
      <c r="A440" s="12" t="s">
        <v>2871</v>
      </c>
      <c r="B440" s="12" t="s">
        <v>169</v>
      </c>
      <c r="C440" s="12" t="s">
        <v>170</v>
      </c>
      <c r="D440" s="12" t="s">
        <v>228</v>
      </c>
      <c r="E440" s="12" t="s">
        <v>1862</v>
      </c>
      <c r="F440" s="12" t="s">
        <v>212</v>
      </c>
      <c r="G440" s="12" t="s">
        <v>2872</v>
      </c>
      <c r="H440" s="12"/>
      <c r="I440" s="12"/>
      <c r="J440" s="12"/>
      <c r="K440" s="45">
        <v>44365</v>
      </c>
      <c r="L440" s="45">
        <v>44365</v>
      </c>
      <c r="M440" s="45">
        <v>44376</v>
      </c>
      <c r="N440" s="12" t="s">
        <v>59</v>
      </c>
      <c r="O440" s="12" t="s">
        <v>60</v>
      </c>
      <c r="P440" s="12"/>
      <c r="Q440" s="12"/>
      <c r="R440" s="12"/>
      <c r="S440" s="12"/>
      <c r="T440"/>
    </row>
    <row r="441" spans="1:20" ht="409.5" x14ac:dyDescent="0.25">
      <c r="A441" s="12" t="s">
        <v>2873</v>
      </c>
      <c r="B441" s="12" t="s">
        <v>169</v>
      </c>
      <c r="C441" s="12" t="s">
        <v>170</v>
      </c>
      <c r="D441" s="12" t="s">
        <v>224</v>
      </c>
      <c r="E441" s="12" t="s">
        <v>1862</v>
      </c>
      <c r="F441" s="12" t="s">
        <v>212</v>
      </c>
      <c r="G441" s="12" t="s">
        <v>2874</v>
      </c>
      <c r="H441" s="12"/>
      <c r="I441" s="12"/>
      <c r="J441" s="12"/>
      <c r="K441" s="45">
        <v>44645</v>
      </c>
      <c r="L441" s="45">
        <v>44645</v>
      </c>
      <c r="M441" s="45">
        <v>44708</v>
      </c>
      <c r="N441" s="12" t="s">
        <v>59</v>
      </c>
      <c r="O441" s="12" t="s">
        <v>60</v>
      </c>
      <c r="P441" s="12"/>
      <c r="Q441" s="12"/>
      <c r="R441" s="12" t="s">
        <v>1897</v>
      </c>
      <c r="S441" s="12"/>
      <c r="T441"/>
    </row>
    <row r="442" spans="1:20" ht="409.5" x14ac:dyDescent="0.25">
      <c r="A442" s="12" t="s">
        <v>2875</v>
      </c>
      <c r="B442" s="12" t="s">
        <v>169</v>
      </c>
      <c r="C442" s="12" t="s">
        <v>170</v>
      </c>
      <c r="D442" s="12" t="s">
        <v>236</v>
      </c>
      <c r="E442" s="12" t="s">
        <v>1862</v>
      </c>
      <c r="F442" s="12" t="s">
        <v>56</v>
      </c>
      <c r="G442" s="12" t="s">
        <v>2876</v>
      </c>
      <c r="H442" s="12"/>
      <c r="I442" s="12"/>
      <c r="J442" s="12" t="s">
        <v>1867</v>
      </c>
      <c r="K442" s="45">
        <v>43623</v>
      </c>
      <c r="L442" s="45">
        <v>43623</v>
      </c>
      <c r="M442" s="45">
        <v>43635</v>
      </c>
      <c r="N442" s="12" t="s">
        <v>59</v>
      </c>
      <c r="O442" s="12" t="s">
        <v>60</v>
      </c>
      <c r="P442" s="12"/>
      <c r="Q442" s="12"/>
      <c r="R442" s="12" t="s">
        <v>1877</v>
      </c>
      <c r="S442" s="12"/>
      <c r="T442"/>
    </row>
    <row r="443" spans="1:20" ht="409.5" x14ac:dyDescent="0.25">
      <c r="A443" s="12" t="s">
        <v>2877</v>
      </c>
      <c r="B443" s="12" t="s">
        <v>169</v>
      </c>
      <c r="C443" s="12" t="s">
        <v>170</v>
      </c>
      <c r="D443" s="12" t="s">
        <v>224</v>
      </c>
      <c r="E443" s="12" t="s">
        <v>1862</v>
      </c>
      <c r="F443" s="12" t="s">
        <v>212</v>
      </c>
      <c r="G443" s="12" t="s">
        <v>2878</v>
      </c>
      <c r="H443" s="12"/>
      <c r="I443" s="12"/>
      <c r="J443" s="12" t="s">
        <v>90</v>
      </c>
      <c r="K443" s="45">
        <v>44827</v>
      </c>
      <c r="L443" s="45">
        <v>44827</v>
      </c>
      <c r="M443" s="45">
        <v>44832</v>
      </c>
      <c r="N443" s="12" t="s">
        <v>59</v>
      </c>
      <c r="O443" s="12" t="s">
        <v>60</v>
      </c>
      <c r="P443" s="12"/>
      <c r="Q443" s="12"/>
      <c r="R443" s="12" t="s">
        <v>1910</v>
      </c>
      <c r="S443" s="12" t="s">
        <v>2879</v>
      </c>
      <c r="T443"/>
    </row>
    <row r="444" spans="1:20" ht="255" x14ac:dyDescent="0.25">
      <c r="A444" s="12" t="s">
        <v>2880</v>
      </c>
      <c r="B444" s="12" t="s">
        <v>169</v>
      </c>
      <c r="C444" s="12" t="s">
        <v>170</v>
      </c>
      <c r="D444" s="12" t="s">
        <v>224</v>
      </c>
      <c r="E444" s="12" t="s">
        <v>1862</v>
      </c>
      <c r="F444" s="12" t="s">
        <v>212</v>
      </c>
      <c r="G444" s="12" t="s">
        <v>2881</v>
      </c>
      <c r="H444" s="12"/>
      <c r="I444" s="12"/>
      <c r="J444" s="12" t="s">
        <v>1381</v>
      </c>
      <c r="K444" s="45">
        <v>44722</v>
      </c>
      <c r="L444" s="45">
        <v>44722</v>
      </c>
      <c r="M444" s="45">
        <v>44746</v>
      </c>
      <c r="N444" s="12" t="s">
        <v>59</v>
      </c>
      <c r="O444" s="12" t="s">
        <v>60</v>
      </c>
      <c r="P444" s="12"/>
      <c r="Q444" s="12"/>
      <c r="R444" s="12"/>
      <c r="S444" s="12" t="s">
        <v>2882</v>
      </c>
      <c r="T444"/>
    </row>
    <row r="445" spans="1:20" ht="409.5" x14ac:dyDescent="0.25">
      <c r="A445" s="12" t="s">
        <v>2883</v>
      </c>
      <c r="B445" s="12" t="s">
        <v>176</v>
      </c>
      <c r="C445" s="12" t="s">
        <v>177</v>
      </c>
      <c r="D445" s="12" t="s">
        <v>236</v>
      </c>
      <c r="E445" s="12" t="s">
        <v>1883</v>
      </c>
      <c r="F445" s="12" t="s">
        <v>56</v>
      </c>
      <c r="G445" s="12" t="s">
        <v>2150</v>
      </c>
      <c r="H445" s="12"/>
      <c r="I445" s="12"/>
      <c r="J445" s="12" t="s">
        <v>1867</v>
      </c>
      <c r="K445" s="45">
        <v>43635</v>
      </c>
      <c r="L445" s="45">
        <v>43627</v>
      </c>
      <c r="M445" s="45">
        <v>43640</v>
      </c>
      <c r="N445" s="12" t="s">
        <v>59</v>
      </c>
      <c r="O445" s="12" t="s">
        <v>60</v>
      </c>
      <c r="P445" s="12"/>
      <c r="Q445" s="12"/>
      <c r="R445" s="12" t="s">
        <v>1877</v>
      </c>
      <c r="S445" s="12" t="s">
        <v>2884</v>
      </c>
      <c r="T445"/>
    </row>
    <row r="446" spans="1:20" ht="360" x14ac:dyDescent="0.25">
      <c r="A446" s="12" t="s">
        <v>2885</v>
      </c>
      <c r="B446" s="12" t="s">
        <v>176</v>
      </c>
      <c r="C446" s="12" t="s">
        <v>177</v>
      </c>
      <c r="D446" s="12" t="s">
        <v>224</v>
      </c>
      <c r="E446" s="12" t="s">
        <v>1862</v>
      </c>
      <c r="F446" s="12" t="s">
        <v>212</v>
      </c>
      <c r="G446" s="12" t="s">
        <v>2886</v>
      </c>
      <c r="H446" s="12"/>
      <c r="I446" s="12"/>
      <c r="J446" s="12" t="s">
        <v>1381</v>
      </c>
      <c r="K446" s="45">
        <v>44770</v>
      </c>
      <c r="L446" s="45">
        <v>44761</v>
      </c>
      <c r="M446" s="45">
        <v>44770</v>
      </c>
      <c r="N446" s="12" t="s">
        <v>59</v>
      </c>
      <c r="O446" s="12" t="s">
        <v>60</v>
      </c>
      <c r="P446" s="12"/>
      <c r="Q446" s="12"/>
      <c r="R446" s="12" t="s">
        <v>1897</v>
      </c>
      <c r="S446" s="12"/>
      <c r="T446"/>
    </row>
    <row r="447" spans="1:20" ht="240" x14ac:dyDescent="0.25">
      <c r="A447" s="12" t="s">
        <v>2887</v>
      </c>
      <c r="B447" s="12" t="s">
        <v>176</v>
      </c>
      <c r="C447" s="12" t="s">
        <v>177</v>
      </c>
      <c r="D447" s="12" t="s">
        <v>224</v>
      </c>
      <c r="E447" s="12" t="s">
        <v>1862</v>
      </c>
      <c r="F447" s="12" t="s">
        <v>212</v>
      </c>
      <c r="G447" s="12" t="s">
        <v>2888</v>
      </c>
      <c r="H447" s="12"/>
      <c r="I447" s="12"/>
      <c r="J447" s="12" t="s">
        <v>1381</v>
      </c>
      <c r="K447" s="45">
        <v>44761</v>
      </c>
      <c r="L447" s="45">
        <v>44761</v>
      </c>
      <c r="M447" s="45">
        <v>44770</v>
      </c>
      <c r="N447" s="12" t="s">
        <v>59</v>
      </c>
      <c r="O447" s="12" t="s">
        <v>60</v>
      </c>
      <c r="P447" s="12"/>
      <c r="Q447" s="12"/>
      <c r="R447" s="12" t="s">
        <v>1986</v>
      </c>
      <c r="S447" s="12"/>
      <c r="T447"/>
    </row>
    <row r="448" spans="1:20" ht="165" x14ac:dyDescent="0.25">
      <c r="A448" s="12" t="s">
        <v>2889</v>
      </c>
      <c r="B448" s="12" t="s">
        <v>176</v>
      </c>
      <c r="C448" s="12" t="s">
        <v>177</v>
      </c>
      <c r="D448" s="12" t="s">
        <v>126</v>
      </c>
      <c r="E448" s="12" t="s">
        <v>1883</v>
      </c>
      <c r="F448" s="12" t="s">
        <v>56</v>
      </c>
      <c r="G448" s="12" t="s">
        <v>2618</v>
      </c>
      <c r="H448" s="12"/>
      <c r="I448" s="12"/>
      <c r="J448" s="12" t="s">
        <v>2001</v>
      </c>
      <c r="K448" s="45">
        <v>42683</v>
      </c>
      <c r="L448" s="45">
        <v>42674</v>
      </c>
      <c r="M448" s="45">
        <v>42683</v>
      </c>
      <c r="N448" s="12" t="s">
        <v>91</v>
      </c>
      <c r="O448" s="12" t="s">
        <v>60</v>
      </c>
      <c r="P448" s="12"/>
      <c r="Q448" s="12"/>
      <c r="R448" s="12" t="s">
        <v>1864</v>
      </c>
      <c r="S448" s="12"/>
      <c r="T448"/>
    </row>
    <row r="449" spans="1:20" ht="105" x14ac:dyDescent="0.25">
      <c r="A449" s="12" t="s">
        <v>2890</v>
      </c>
      <c r="B449" s="12" t="s">
        <v>176</v>
      </c>
      <c r="C449" s="12" t="s">
        <v>177</v>
      </c>
      <c r="D449" s="12" t="s">
        <v>228</v>
      </c>
      <c r="E449" s="12" t="s">
        <v>1883</v>
      </c>
      <c r="F449" s="12" t="s">
        <v>212</v>
      </c>
      <c r="G449" s="12" t="s">
        <v>2891</v>
      </c>
      <c r="H449" s="12"/>
      <c r="I449" s="12"/>
      <c r="J449" s="12"/>
      <c r="K449" s="45">
        <v>44435</v>
      </c>
      <c r="L449" s="45">
        <v>44418</v>
      </c>
      <c r="M449" s="45">
        <v>44438</v>
      </c>
      <c r="N449" s="12" t="s">
        <v>59</v>
      </c>
      <c r="O449" s="12" t="s">
        <v>60</v>
      </c>
      <c r="P449" s="12"/>
      <c r="Q449" s="12"/>
      <c r="R449" s="12" t="s">
        <v>1938</v>
      </c>
      <c r="S449" s="12"/>
      <c r="T449"/>
    </row>
    <row r="450" spans="1:20" ht="315" x14ac:dyDescent="0.25">
      <c r="A450" s="12" t="s">
        <v>2892</v>
      </c>
      <c r="B450" s="12" t="s">
        <v>176</v>
      </c>
      <c r="C450" s="12" t="s">
        <v>177</v>
      </c>
      <c r="D450" s="12" t="s">
        <v>224</v>
      </c>
      <c r="E450" s="12" t="s">
        <v>1862</v>
      </c>
      <c r="F450" s="12" t="s">
        <v>212</v>
      </c>
      <c r="G450" s="12" t="s">
        <v>2893</v>
      </c>
      <c r="H450" s="12"/>
      <c r="I450" s="12"/>
      <c r="J450" s="12" t="s">
        <v>1381</v>
      </c>
      <c r="K450" s="45">
        <v>44761</v>
      </c>
      <c r="L450" s="45">
        <v>44761</v>
      </c>
      <c r="M450" s="45">
        <v>44770</v>
      </c>
      <c r="N450" s="12" t="s">
        <v>59</v>
      </c>
      <c r="O450" s="12" t="s">
        <v>60</v>
      </c>
      <c r="P450" s="12"/>
      <c r="Q450" s="12"/>
      <c r="R450" s="12" t="s">
        <v>1900</v>
      </c>
      <c r="S450" s="12"/>
      <c r="T450"/>
    </row>
    <row r="451" spans="1:20" ht="120" x14ac:dyDescent="0.25">
      <c r="A451" s="12" t="s">
        <v>2894</v>
      </c>
      <c r="B451" s="12" t="s">
        <v>176</v>
      </c>
      <c r="C451" s="12" t="s">
        <v>177</v>
      </c>
      <c r="D451" s="12" t="s">
        <v>228</v>
      </c>
      <c r="E451" s="12" t="s">
        <v>1883</v>
      </c>
      <c r="F451" s="12" t="s">
        <v>212</v>
      </c>
      <c r="G451" s="12" t="s">
        <v>2895</v>
      </c>
      <c r="H451" s="12"/>
      <c r="I451" s="12"/>
      <c r="J451" s="12"/>
      <c r="K451" s="45">
        <v>44435</v>
      </c>
      <c r="L451" s="45">
        <v>44418</v>
      </c>
      <c r="M451" s="45">
        <v>44438</v>
      </c>
      <c r="N451" s="12" t="s">
        <v>59</v>
      </c>
      <c r="O451" s="12" t="s">
        <v>60</v>
      </c>
      <c r="P451" s="12"/>
      <c r="Q451" s="12"/>
      <c r="R451" s="12" t="s">
        <v>1904</v>
      </c>
      <c r="S451" s="12"/>
      <c r="T451"/>
    </row>
    <row r="452" spans="1:20" ht="409.5" x14ac:dyDescent="0.25">
      <c r="A452" s="12" t="s">
        <v>2896</v>
      </c>
      <c r="B452" s="12" t="s">
        <v>176</v>
      </c>
      <c r="C452" s="12" t="s">
        <v>177</v>
      </c>
      <c r="D452" s="12" t="s">
        <v>55</v>
      </c>
      <c r="E452" s="12" t="s">
        <v>1883</v>
      </c>
      <c r="F452" s="12" t="s">
        <v>56</v>
      </c>
      <c r="G452" s="12" t="s">
        <v>2792</v>
      </c>
      <c r="H452" s="12"/>
      <c r="I452" s="12"/>
      <c r="J452" s="12" t="s">
        <v>1867</v>
      </c>
      <c r="K452" s="45">
        <v>43448</v>
      </c>
      <c r="L452" s="45">
        <v>43445</v>
      </c>
      <c r="M452" s="45">
        <v>43451</v>
      </c>
      <c r="N452" s="12" t="s">
        <v>91</v>
      </c>
      <c r="O452" s="12" t="s">
        <v>60</v>
      </c>
      <c r="P452" s="12"/>
      <c r="Q452" s="12"/>
      <c r="R452" s="12" t="s">
        <v>1874</v>
      </c>
      <c r="S452" s="12" t="s">
        <v>2897</v>
      </c>
      <c r="T452"/>
    </row>
    <row r="453" spans="1:20" ht="409.5" x14ac:dyDescent="0.25">
      <c r="A453" s="12" t="s">
        <v>2898</v>
      </c>
      <c r="B453" s="12" t="s">
        <v>176</v>
      </c>
      <c r="C453" s="12" t="s">
        <v>177</v>
      </c>
      <c r="D453" s="12" t="s">
        <v>252</v>
      </c>
      <c r="E453" s="12" t="s">
        <v>1862</v>
      </c>
      <c r="F453" s="12" t="s">
        <v>212</v>
      </c>
      <c r="G453" s="12" t="s">
        <v>2899</v>
      </c>
      <c r="H453" s="12"/>
      <c r="I453" s="12"/>
      <c r="J453" s="12" t="s">
        <v>1885</v>
      </c>
      <c r="K453" s="45">
        <v>45587</v>
      </c>
      <c r="L453" s="45">
        <v>45587</v>
      </c>
      <c r="M453" s="45">
        <v>45700</v>
      </c>
      <c r="N453" s="12" t="s">
        <v>59</v>
      </c>
      <c r="O453" s="12" t="s">
        <v>60</v>
      </c>
      <c r="P453" s="12"/>
      <c r="Q453" s="12"/>
      <c r="R453" s="12"/>
      <c r="S453" s="12"/>
      <c r="T453"/>
    </row>
    <row r="454" spans="1:20" ht="150" x14ac:dyDescent="0.25">
      <c r="A454" s="12" t="s">
        <v>2900</v>
      </c>
      <c r="B454" s="12" t="s">
        <v>176</v>
      </c>
      <c r="C454" s="12" t="s">
        <v>177</v>
      </c>
      <c r="D454" s="12" t="s">
        <v>126</v>
      </c>
      <c r="E454" s="12" t="s">
        <v>1883</v>
      </c>
      <c r="F454" s="12" t="s">
        <v>56</v>
      </c>
      <c r="G454" s="12" t="s">
        <v>2901</v>
      </c>
      <c r="H454" s="12"/>
      <c r="I454" s="12"/>
      <c r="J454" s="12" t="s">
        <v>90</v>
      </c>
      <c r="K454" s="45">
        <v>42578</v>
      </c>
      <c r="L454" s="45">
        <v>42570</v>
      </c>
      <c r="M454" s="45">
        <v>42578</v>
      </c>
      <c r="N454" s="12" t="s">
        <v>91</v>
      </c>
      <c r="O454" s="12" t="s">
        <v>60</v>
      </c>
      <c r="P454" s="12"/>
      <c r="Q454" s="12"/>
      <c r="R454" s="12" t="s">
        <v>1881</v>
      </c>
      <c r="S454" s="12"/>
      <c r="T454"/>
    </row>
    <row r="455" spans="1:20" ht="409.5" x14ac:dyDescent="0.25">
      <c r="A455" s="12" t="s">
        <v>2902</v>
      </c>
      <c r="B455" s="12" t="s">
        <v>176</v>
      </c>
      <c r="C455" s="12" t="s">
        <v>177</v>
      </c>
      <c r="D455" s="12" t="s">
        <v>252</v>
      </c>
      <c r="E455" s="12" t="s">
        <v>1862</v>
      </c>
      <c r="F455" s="12" t="s">
        <v>212</v>
      </c>
      <c r="G455" s="12" t="s">
        <v>2903</v>
      </c>
      <c r="H455" s="12"/>
      <c r="I455" s="12"/>
      <c r="J455" s="12" t="s">
        <v>1885</v>
      </c>
      <c r="K455" s="45">
        <v>45587</v>
      </c>
      <c r="L455" s="45">
        <v>45587</v>
      </c>
      <c r="M455" s="45">
        <v>45700</v>
      </c>
      <c r="N455" s="12" t="s">
        <v>59</v>
      </c>
      <c r="O455" s="12" t="s">
        <v>60</v>
      </c>
      <c r="P455" s="12"/>
      <c r="Q455" s="12"/>
      <c r="R455" s="12"/>
      <c r="S455" s="12"/>
      <c r="T455"/>
    </row>
    <row r="456" spans="1:20" ht="270" x14ac:dyDescent="0.25">
      <c r="A456" s="12" t="s">
        <v>2904</v>
      </c>
      <c r="B456" s="12" t="s">
        <v>176</v>
      </c>
      <c r="C456" s="12" t="s">
        <v>177</v>
      </c>
      <c r="D456" s="12" t="s">
        <v>220</v>
      </c>
      <c r="E456" s="12" t="s">
        <v>1862</v>
      </c>
      <c r="F456" s="12" t="s">
        <v>1307</v>
      </c>
      <c r="G456" s="12" t="s">
        <v>2905</v>
      </c>
      <c r="H456" s="12"/>
      <c r="I456" s="12"/>
      <c r="J456" s="12" t="s">
        <v>2021</v>
      </c>
      <c r="K456" s="45">
        <v>45244</v>
      </c>
      <c r="L456" s="45">
        <v>45244</v>
      </c>
      <c r="M456" s="45">
        <v>45247</v>
      </c>
      <c r="N456" s="12" t="s">
        <v>59</v>
      </c>
      <c r="O456" s="12" t="s">
        <v>60</v>
      </c>
      <c r="P456" s="12"/>
      <c r="Q456" s="12"/>
      <c r="R456" s="12" t="s">
        <v>1918</v>
      </c>
      <c r="S456" s="12"/>
      <c r="T456"/>
    </row>
    <row r="457" spans="1:20" ht="165" x14ac:dyDescent="0.25">
      <c r="A457" s="12" t="s">
        <v>2906</v>
      </c>
      <c r="B457" s="12" t="s">
        <v>176</v>
      </c>
      <c r="C457" s="12" t="s">
        <v>177</v>
      </c>
      <c r="D457" s="12" t="s">
        <v>55</v>
      </c>
      <c r="E457" s="12" t="s">
        <v>1883</v>
      </c>
      <c r="F457" s="12" t="s">
        <v>56</v>
      </c>
      <c r="G457" s="12" t="s">
        <v>1934</v>
      </c>
      <c r="H457" s="12"/>
      <c r="I457" s="12"/>
      <c r="J457" s="12" t="s">
        <v>1880</v>
      </c>
      <c r="K457" s="45">
        <v>43202</v>
      </c>
      <c r="L457" s="45">
        <v>43186</v>
      </c>
      <c r="M457" s="45">
        <v>43201</v>
      </c>
      <c r="N457" s="12" t="s">
        <v>91</v>
      </c>
      <c r="O457" s="12" t="s">
        <v>60</v>
      </c>
      <c r="P457" s="12"/>
      <c r="Q457" s="12"/>
      <c r="R457" s="12" t="s">
        <v>1871</v>
      </c>
      <c r="S457" s="12"/>
      <c r="T457"/>
    </row>
    <row r="458" spans="1:20" ht="315" x14ac:dyDescent="0.25">
      <c r="A458" s="12" t="s">
        <v>2907</v>
      </c>
      <c r="B458" s="12" t="s">
        <v>176</v>
      </c>
      <c r="C458" s="12" t="s">
        <v>177</v>
      </c>
      <c r="D458" s="12" t="s">
        <v>236</v>
      </c>
      <c r="E458" s="12" t="s">
        <v>1862</v>
      </c>
      <c r="F458" s="12" t="s">
        <v>56</v>
      </c>
      <c r="G458" s="12" t="s">
        <v>1866</v>
      </c>
      <c r="H458" s="12"/>
      <c r="I458" s="12"/>
      <c r="J458" s="12" t="s">
        <v>1867</v>
      </c>
      <c r="K458" s="45">
        <v>43578</v>
      </c>
      <c r="L458" s="45">
        <v>43578</v>
      </c>
      <c r="M458" s="45">
        <v>43588</v>
      </c>
      <c r="N458" s="12" t="s">
        <v>59</v>
      </c>
      <c r="O458" s="12" t="s">
        <v>60</v>
      </c>
      <c r="P458" s="12"/>
      <c r="Q458" s="12"/>
      <c r="R458" s="12" t="s">
        <v>1868</v>
      </c>
      <c r="S458" s="12"/>
      <c r="T458"/>
    </row>
    <row r="459" spans="1:20" ht="409.5" x14ac:dyDescent="0.25">
      <c r="A459" s="12" t="s">
        <v>2908</v>
      </c>
      <c r="B459" s="12" t="s">
        <v>176</v>
      </c>
      <c r="C459" s="12" t="s">
        <v>177</v>
      </c>
      <c r="D459" s="12" t="s">
        <v>224</v>
      </c>
      <c r="E459" s="12" t="s">
        <v>1862</v>
      </c>
      <c r="F459" s="12" t="s">
        <v>212</v>
      </c>
      <c r="G459" s="12" t="s">
        <v>2909</v>
      </c>
      <c r="H459" s="12"/>
      <c r="I459" s="12"/>
      <c r="J459" s="12" t="s">
        <v>90</v>
      </c>
      <c r="K459" s="45">
        <v>44845</v>
      </c>
      <c r="L459" s="45">
        <v>44838</v>
      </c>
      <c r="M459" s="45">
        <v>44845</v>
      </c>
      <c r="N459" s="12" t="s">
        <v>59</v>
      </c>
      <c r="O459" s="12" t="s">
        <v>60</v>
      </c>
      <c r="P459" s="12"/>
      <c r="Q459" s="12"/>
      <c r="R459" s="12" t="s">
        <v>1910</v>
      </c>
      <c r="S459" s="12"/>
      <c r="T459"/>
    </row>
    <row r="460" spans="1:20" ht="409.5" x14ac:dyDescent="0.25">
      <c r="A460" s="12" t="s">
        <v>2910</v>
      </c>
      <c r="B460" s="12" t="s">
        <v>182</v>
      </c>
      <c r="C460" s="12" t="s">
        <v>975</v>
      </c>
      <c r="D460" s="12" t="s">
        <v>224</v>
      </c>
      <c r="E460" s="12" t="s">
        <v>1862</v>
      </c>
      <c r="F460" s="12" t="s">
        <v>56</v>
      </c>
      <c r="G460" s="12" t="s">
        <v>2911</v>
      </c>
      <c r="H460" s="12"/>
      <c r="I460" s="12"/>
      <c r="J460" s="12"/>
      <c r="K460" s="45">
        <v>44651</v>
      </c>
      <c r="L460" s="45">
        <v>44651</v>
      </c>
      <c r="M460" s="45">
        <v>44659</v>
      </c>
      <c r="N460" s="12" t="s">
        <v>59</v>
      </c>
      <c r="O460" s="12" t="s">
        <v>60</v>
      </c>
      <c r="P460" s="12"/>
      <c r="Q460" s="12"/>
      <c r="R460" s="12" t="s">
        <v>1897</v>
      </c>
      <c r="S460" s="12"/>
      <c r="T460"/>
    </row>
    <row r="461" spans="1:20" ht="409.5" x14ac:dyDescent="0.25">
      <c r="A461" s="12" t="s">
        <v>2912</v>
      </c>
      <c r="B461" s="12" t="s">
        <v>182</v>
      </c>
      <c r="C461" s="12" t="s">
        <v>975</v>
      </c>
      <c r="D461" s="12" t="s">
        <v>252</v>
      </c>
      <c r="E461" s="12" t="s">
        <v>1862</v>
      </c>
      <c r="F461" s="12" t="s">
        <v>56</v>
      </c>
      <c r="G461" s="12" t="s">
        <v>2913</v>
      </c>
      <c r="H461" s="12"/>
      <c r="I461" s="12"/>
      <c r="J461" s="12" t="s">
        <v>1885</v>
      </c>
      <c r="K461" s="45">
        <v>45582</v>
      </c>
      <c r="L461" s="45">
        <v>45582</v>
      </c>
      <c r="M461" s="45">
        <v>45583</v>
      </c>
      <c r="N461" s="12" t="s">
        <v>59</v>
      </c>
      <c r="O461" s="12" t="s">
        <v>60</v>
      </c>
      <c r="P461" s="12"/>
      <c r="Q461" s="12"/>
      <c r="R461" s="12"/>
      <c r="S461" s="12"/>
      <c r="T461"/>
    </row>
    <row r="462" spans="1:20" ht="409.5" x14ac:dyDescent="0.25">
      <c r="A462" s="12" t="s">
        <v>2914</v>
      </c>
      <c r="B462" s="12" t="s">
        <v>182</v>
      </c>
      <c r="C462" s="12" t="s">
        <v>975</v>
      </c>
      <c r="D462" s="12" t="s">
        <v>55</v>
      </c>
      <c r="E462" s="12" t="s">
        <v>1862</v>
      </c>
      <c r="F462" s="12" t="s">
        <v>56</v>
      </c>
      <c r="G462" s="12" t="s">
        <v>1870</v>
      </c>
      <c r="H462" s="12"/>
      <c r="I462" s="12"/>
      <c r="J462" s="12" t="s">
        <v>1867</v>
      </c>
      <c r="K462" s="45">
        <v>43271</v>
      </c>
      <c r="L462" s="45">
        <v>43271</v>
      </c>
      <c r="M462" s="45">
        <v>43271</v>
      </c>
      <c r="N462" s="12" t="s">
        <v>91</v>
      </c>
      <c r="O462" s="12" t="s">
        <v>60</v>
      </c>
      <c r="P462" s="12"/>
      <c r="Q462" s="12"/>
      <c r="R462" s="12" t="s">
        <v>1871</v>
      </c>
      <c r="S462" s="12"/>
      <c r="T462"/>
    </row>
    <row r="463" spans="1:20" ht="409.5" x14ac:dyDescent="0.25">
      <c r="A463" s="12" t="s">
        <v>2915</v>
      </c>
      <c r="B463" s="12" t="s">
        <v>182</v>
      </c>
      <c r="C463" s="12" t="s">
        <v>975</v>
      </c>
      <c r="D463" s="12" t="s">
        <v>224</v>
      </c>
      <c r="E463" s="12" t="s">
        <v>1862</v>
      </c>
      <c r="F463" s="12" t="s">
        <v>56</v>
      </c>
      <c r="G463" s="12" t="s">
        <v>2916</v>
      </c>
      <c r="H463" s="12"/>
      <c r="I463" s="12"/>
      <c r="J463" s="12" t="s">
        <v>90</v>
      </c>
      <c r="K463" s="45">
        <v>44854</v>
      </c>
      <c r="L463" s="45">
        <v>44854</v>
      </c>
      <c r="M463" s="45">
        <v>44854</v>
      </c>
      <c r="N463" s="12" t="s">
        <v>59</v>
      </c>
      <c r="O463" s="12" t="s">
        <v>60</v>
      </c>
      <c r="P463" s="12"/>
      <c r="Q463" s="12"/>
      <c r="R463" s="12" t="s">
        <v>1910</v>
      </c>
      <c r="S463" s="12" t="s">
        <v>2917</v>
      </c>
      <c r="T463"/>
    </row>
    <row r="464" spans="1:20" ht="409.5" x14ac:dyDescent="0.25">
      <c r="A464" s="12" t="s">
        <v>2918</v>
      </c>
      <c r="B464" s="12" t="s">
        <v>182</v>
      </c>
      <c r="C464" s="12" t="s">
        <v>975</v>
      </c>
      <c r="D464" s="12" t="s">
        <v>252</v>
      </c>
      <c r="E464" s="12" t="s">
        <v>1862</v>
      </c>
      <c r="F464" s="12" t="s">
        <v>56</v>
      </c>
      <c r="G464" s="12" t="s">
        <v>2919</v>
      </c>
      <c r="H464" s="12"/>
      <c r="I464" s="12"/>
      <c r="J464" s="12"/>
      <c r="K464" s="45">
        <v>45461</v>
      </c>
      <c r="L464" s="45">
        <v>45461</v>
      </c>
      <c r="M464" s="45">
        <v>45461</v>
      </c>
      <c r="N464" s="12" t="s">
        <v>59</v>
      </c>
      <c r="O464" s="12" t="s">
        <v>60</v>
      </c>
      <c r="P464" s="12"/>
      <c r="Q464" s="12"/>
      <c r="R464" s="12" t="s">
        <v>1932</v>
      </c>
      <c r="S464" s="12" t="s">
        <v>2920</v>
      </c>
      <c r="T464"/>
    </row>
    <row r="465" spans="1:20" ht="409.5" x14ac:dyDescent="0.25">
      <c r="A465" s="12" t="s">
        <v>2921</v>
      </c>
      <c r="B465" s="12" t="s">
        <v>182</v>
      </c>
      <c r="C465" s="12" t="s">
        <v>975</v>
      </c>
      <c r="D465" s="12" t="s">
        <v>228</v>
      </c>
      <c r="E465" s="12" t="s">
        <v>1862</v>
      </c>
      <c r="F465" s="12" t="s">
        <v>212</v>
      </c>
      <c r="G465" s="12" t="s">
        <v>2922</v>
      </c>
      <c r="H465" s="12"/>
      <c r="I465" s="12"/>
      <c r="J465" s="12" t="s">
        <v>2330</v>
      </c>
      <c r="K465" s="45">
        <v>44350</v>
      </c>
      <c r="L465" s="45">
        <v>44350</v>
      </c>
      <c r="M465" s="45">
        <v>44358</v>
      </c>
      <c r="N465" s="12" t="s">
        <v>59</v>
      </c>
      <c r="O465" s="12" t="s">
        <v>60</v>
      </c>
      <c r="P465" s="12"/>
      <c r="Q465" s="12"/>
      <c r="R465" s="12" t="s">
        <v>1922</v>
      </c>
      <c r="S465" s="12"/>
      <c r="T465"/>
    </row>
    <row r="466" spans="1:20" ht="315" x14ac:dyDescent="0.25">
      <c r="A466" s="12" t="s">
        <v>2923</v>
      </c>
      <c r="B466" s="12" t="s">
        <v>182</v>
      </c>
      <c r="C466" s="12" t="s">
        <v>975</v>
      </c>
      <c r="D466" s="12" t="s">
        <v>224</v>
      </c>
      <c r="E466" s="12" t="s">
        <v>1862</v>
      </c>
      <c r="F466" s="12" t="s">
        <v>212</v>
      </c>
      <c r="G466" s="12" t="s">
        <v>2924</v>
      </c>
      <c r="H466" s="12"/>
      <c r="I466" s="12"/>
      <c r="J466" s="12" t="s">
        <v>1381</v>
      </c>
      <c r="K466" s="45">
        <v>44740</v>
      </c>
      <c r="L466" s="45">
        <v>44740</v>
      </c>
      <c r="M466" s="45">
        <v>44741</v>
      </c>
      <c r="N466" s="12" t="s">
        <v>59</v>
      </c>
      <c r="O466" s="12" t="s">
        <v>60</v>
      </c>
      <c r="P466" s="12"/>
      <c r="Q466" s="12"/>
      <c r="R466" s="12" t="s">
        <v>1986</v>
      </c>
      <c r="S466" s="12"/>
      <c r="T466"/>
    </row>
    <row r="467" spans="1:20" ht="165" x14ac:dyDescent="0.25">
      <c r="A467" s="12" t="s">
        <v>2925</v>
      </c>
      <c r="B467" s="12" t="s">
        <v>182</v>
      </c>
      <c r="C467" s="12" t="s">
        <v>975</v>
      </c>
      <c r="D467" s="12" t="s">
        <v>83</v>
      </c>
      <c r="E467" s="12" t="s">
        <v>1862</v>
      </c>
      <c r="F467" s="12" t="s">
        <v>56</v>
      </c>
      <c r="G467" s="12" t="s">
        <v>2926</v>
      </c>
      <c r="H467" s="12"/>
      <c r="I467" s="12"/>
      <c r="J467" s="12"/>
      <c r="K467" s="45">
        <v>42900</v>
      </c>
      <c r="L467" s="45">
        <v>42900</v>
      </c>
      <c r="M467" s="45">
        <v>42909</v>
      </c>
      <c r="N467" s="12" t="s">
        <v>91</v>
      </c>
      <c r="O467" s="12" t="s">
        <v>60</v>
      </c>
      <c r="P467" s="12"/>
      <c r="Q467" s="12"/>
      <c r="R467" s="12" t="s">
        <v>2678</v>
      </c>
      <c r="S467" s="12"/>
      <c r="T467"/>
    </row>
    <row r="468" spans="1:20" ht="409.5" x14ac:dyDescent="0.25">
      <c r="A468" s="12" t="s">
        <v>2927</v>
      </c>
      <c r="B468" s="12" t="s">
        <v>182</v>
      </c>
      <c r="C468" s="12" t="s">
        <v>975</v>
      </c>
      <c r="D468" s="12" t="s">
        <v>252</v>
      </c>
      <c r="E468" s="12" t="s">
        <v>1862</v>
      </c>
      <c r="F468" s="12" t="s">
        <v>56</v>
      </c>
      <c r="G468" s="12" t="s">
        <v>2928</v>
      </c>
      <c r="H468" s="12"/>
      <c r="I468" s="12"/>
      <c r="J468" s="12" t="s">
        <v>2272</v>
      </c>
      <c r="K468" s="45">
        <v>45582</v>
      </c>
      <c r="L468" s="45">
        <v>45582</v>
      </c>
      <c r="M468" s="45">
        <v>45583</v>
      </c>
      <c r="N468" s="12" t="s">
        <v>59</v>
      </c>
      <c r="O468" s="12" t="s">
        <v>60</v>
      </c>
      <c r="P468" s="12"/>
      <c r="Q468" s="12"/>
      <c r="R468" s="12"/>
      <c r="S468" s="12"/>
      <c r="T468"/>
    </row>
    <row r="469" spans="1:20" ht="409.5" x14ac:dyDescent="0.25">
      <c r="A469" s="12" t="s">
        <v>2929</v>
      </c>
      <c r="B469" s="12" t="s">
        <v>182</v>
      </c>
      <c r="C469" s="12" t="s">
        <v>975</v>
      </c>
      <c r="D469" s="12" t="s">
        <v>55</v>
      </c>
      <c r="E469" s="12" t="s">
        <v>1862</v>
      </c>
      <c r="F469" s="12" t="s">
        <v>56</v>
      </c>
      <c r="G469" s="12" t="s">
        <v>2930</v>
      </c>
      <c r="H469" s="12"/>
      <c r="I469" s="12"/>
      <c r="J469" s="12" t="s">
        <v>1867</v>
      </c>
      <c r="K469" s="45">
        <v>43451</v>
      </c>
      <c r="L469" s="45">
        <v>43451</v>
      </c>
      <c r="M469" s="45">
        <v>43451</v>
      </c>
      <c r="N469" s="12" t="s">
        <v>59</v>
      </c>
      <c r="O469" s="12" t="s">
        <v>60</v>
      </c>
      <c r="P469" s="12"/>
      <c r="Q469" s="12"/>
      <c r="R469" s="12" t="s">
        <v>1874</v>
      </c>
      <c r="S469" s="12"/>
      <c r="T469"/>
    </row>
    <row r="470" spans="1:20" ht="180" x14ac:dyDescent="0.25">
      <c r="A470" s="12" t="s">
        <v>2931</v>
      </c>
      <c r="B470" s="12" t="s">
        <v>182</v>
      </c>
      <c r="C470" s="12" t="s">
        <v>975</v>
      </c>
      <c r="D470" s="12" t="s">
        <v>83</v>
      </c>
      <c r="E470" s="12" t="s">
        <v>1862</v>
      </c>
      <c r="F470" s="12" t="s">
        <v>56</v>
      </c>
      <c r="G470" s="12" t="s">
        <v>1863</v>
      </c>
      <c r="H470" s="12"/>
      <c r="I470" s="12"/>
      <c r="J470" s="12"/>
      <c r="K470" s="45">
        <v>42900</v>
      </c>
      <c r="L470" s="45">
        <v>42900</v>
      </c>
      <c r="M470" s="45">
        <v>42909</v>
      </c>
      <c r="N470" s="12" t="s">
        <v>91</v>
      </c>
      <c r="O470" s="12" t="s">
        <v>60</v>
      </c>
      <c r="P470" s="12"/>
      <c r="Q470" s="12"/>
      <c r="R470" s="12" t="s">
        <v>1864</v>
      </c>
      <c r="S470" s="12"/>
      <c r="T470"/>
    </row>
    <row r="471" spans="1:20" ht="409.5" x14ac:dyDescent="0.25">
      <c r="A471" s="12" t="s">
        <v>2932</v>
      </c>
      <c r="B471" s="12" t="s">
        <v>182</v>
      </c>
      <c r="C471" s="12" t="s">
        <v>975</v>
      </c>
      <c r="D471" s="12" t="s">
        <v>228</v>
      </c>
      <c r="E471" s="12" t="s">
        <v>1862</v>
      </c>
      <c r="F471" s="12" t="s">
        <v>212</v>
      </c>
      <c r="G471" s="12" t="s">
        <v>2933</v>
      </c>
      <c r="H471" s="12"/>
      <c r="I471" s="12"/>
      <c r="J471" s="12" t="s">
        <v>2934</v>
      </c>
      <c r="K471" s="45">
        <v>44350</v>
      </c>
      <c r="L471" s="45">
        <v>44350</v>
      </c>
      <c r="M471" s="45">
        <v>44358</v>
      </c>
      <c r="N471" s="12" t="s">
        <v>59</v>
      </c>
      <c r="O471" s="12" t="s">
        <v>60</v>
      </c>
      <c r="P471" s="12"/>
      <c r="Q471" s="12"/>
      <c r="R471" s="12" t="s">
        <v>1938</v>
      </c>
      <c r="S471" s="12"/>
      <c r="T471"/>
    </row>
    <row r="472" spans="1:20" ht="345" x14ac:dyDescent="0.25">
      <c r="A472" s="12" t="s">
        <v>2935</v>
      </c>
      <c r="B472" s="12" t="s">
        <v>182</v>
      </c>
      <c r="C472" s="12" t="s">
        <v>975</v>
      </c>
      <c r="D472" s="12" t="s">
        <v>220</v>
      </c>
      <c r="E472" s="12" t="s">
        <v>1862</v>
      </c>
      <c r="F472" s="12" t="s">
        <v>1307</v>
      </c>
      <c r="G472" s="12" t="s">
        <v>2936</v>
      </c>
      <c r="H472" s="12"/>
      <c r="I472" s="12"/>
      <c r="J472" s="12" t="s">
        <v>1880</v>
      </c>
      <c r="K472" s="45">
        <v>45218</v>
      </c>
      <c r="L472" s="45">
        <v>45218</v>
      </c>
      <c r="M472" s="45">
        <v>45218</v>
      </c>
      <c r="N472" s="12" t="s">
        <v>59</v>
      </c>
      <c r="O472" s="12" t="s">
        <v>60</v>
      </c>
      <c r="P472" s="12"/>
      <c r="Q472" s="12"/>
      <c r="R472" s="12" t="s">
        <v>1918</v>
      </c>
      <c r="S472" s="12"/>
      <c r="T472"/>
    </row>
    <row r="473" spans="1:20" ht="409.5" x14ac:dyDescent="0.25">
      <c r="A473" s="12" t="s">
        <v>2937</v>
      </c>
      <c r="B473" s="12" t="s">
        <v>182</v>
      </c>
      <c r="C473" s="12" t="s">
        <v>975</v>
      </c>
      <c r="D473" s="12" t="s">
        <v>220</v>
      </c>
      <c r="E473" s="12" t="s">
        <v>1862</v>
      </c>
      <c r="F473" s="12" t="s">
        <v>56</v>
      </c>
      <c r="G473" s="12" t="s">
        <v>2938</v>
      </c>
      <c r="H473" s="12"/>
      <c r="I473" s="12"/>
      <c r="J473" s="12" t="s">
        <v>1381</v>
      </c>
      <c r="K473" s="45">
        <v>45097</v>
      </c>
      <c r="L473" s="45">
        <v>45097</v>
      </c>
      <c r="M473" s="45">
        <v>45100</v>
      </c>
      <c r="N473" s="12" t="s">
        <v>59</v>
      </c>
      <c r="O473" s="12" t="s">
        <v>60</v>
      </c>
      <c r="P473" s="12"/>
      <c r="Q473" s="12"/>
      <c r="R473" s="12" t="s">
        <v>1968</v>
      </c>
      <c r="S473" s="12"/>
      <c r="T473"/>
    </row>
    <row r="474" spans="1:20" ht="315" x14ac:dyDescent="0.25">
      <c r="A474" s="12" t="s">
        <v>2939</v>
      </c>
      <c r="B474" s="12" t="s">
        <v>182</v>
      </c>
      <c r="C474" s="12" t="s">
        <v>975</v>
      </c>
      <c r="D474" s="12" t="s">
        <v>236</v>
      </c>
      <c r="E474" s="12" t="s">
        <v>1862</v>
      </c>
      <c r="F474" s="12" t="s">
        <v>56</v>
      </c>
      <c r="G474" s="12" t="s">
        <v>1866</v>
      </c>
      <c r="H474" s="12"/>
      <c r="I474" s="12"/>
      <c r="J474" s="12" t="s">
        <v>1867</v>
      </c>
      <c r="K474" s="45">
        <v>43622</v>
      </c>
      <c r="L474" s="45">
        <v>43622</v>
      </c>
      <c r="M474" s="45">
        <v>43630</v>
      </c>
      <c r="N474" s="12" t="s">
        <v>59</v>
      </c>
      <c r="O474" s="12" t="s">
        <v>60</v>
      </c>
      <c r="P474" s="12"/>
      <c r="Q474" s="12"/>
      <c r="R474" s="12" t="s">
        <v>1868</v>
      </c>
      <c r="S474" s="12"/>
      <c r="T474"/>
    </row>
    <row r="475" spans="1:20" ht="409.5" x14ac:dyDescent="0.25">
      <c r="A475" s="12" t="s">
        <v>2940</v>
      </c>
      <c r="B475" s="12" t="s">
        <v>182</v>
      </c>
      <c r="C475" s="12" t="s">
        <v>975</v>
      </c>
      <c r="D475" s="12" t="s">
        <v>228</v>
      </c>
      <c r="E475" s="12" t="s">
        <v>1862</v>
      </c>
      <c r="F475" s="12" t="s">
        <v>56</v>
      </c>
      <c r="G475" s="12" t="s">
        <v>2941</v>
      </c>
      <c r="H475" s="12"/>
      <c r="I475" s="12"/>
      <c r="J475" s="12" t="s">
        <v>2330</v>
      </c>
      <c r="K475" s="45">
        <v>44350</v>
      </c>
      <c r="L475" s="45">
        <v>44350</v>
      </c>
      <c r="M475" s="45">
        <v>44358</v>
      </c>
      <c r="N475" s="12" t="s">
        <v>59</v>
      </c>
      <c r="O475" s="12" t="s">
        <v>60</v>
      </c>
      <c r="P475" s="12"/>
      <c r="Q475" s="12"/>
      <c r="R475" s="12" t="s">
        <v>1894</v>
      </c>
      <c r="S475" s="12"/>
      <c r="T475"/>
    </row>
    <row r="476" spans="1:20" ht="409.5" x14ac:dyDescent="0.25">
      <c r="A476" s="12" t="s">
        <v>2942</v>
      </c>
      <c r="B476" s="12" t="s">
        <v>182</v>
      </c>
      <c r="C476" s="12" t="s">
        <v>975</v>
      </c>
      <c r="D476" s="12" t="s">
        <v>220</v>
      </c>
      <c r="E476" s="12" t="s">
        <v>1862</v>
      </c>
      <c r="F476" s="12" t="s">
        <v>56</v>
      </c>
      <c r="G476" s="12" t="s">
        <v>2943</v>
      </c>
      <c r="H476" s="12"/>
      <c r="I476" s="12"/>
      <c r="J476" s="12" t="s">
        <v>1381</v>
      </c>
      <c r="K476" s="45">
        <v>45097</v>
      </c>
      <c r="L476" s="45">
        <v>45097</v>
      </c>
      <c r="M476" s="45">
        <v>45100</v>
      </c>
      <c r="N476" s="12" t="s">
        <v>59</v>
      </c>
      <c r="O476" s="12" t="s">
        <v>60</v>
      </c>
      <c r="P476" s="12"/>
      <c r="Q476" s="12"/>
      <c r="R476" s="12" t="s">
        <v>1975</v>
      </c>
      <c r="S476" s="12"/>
      <c r="T476"/>
    </row>
    <row r="477" spans="1:20" ht="409.5" x14ac:dyDescent="0.25">
      <c r="A477" s="12" t="s">
        <v>2944</v>
      </c>
      <c r="B477" s="12" t="s">
        <v>182</v>
      </c>
      <c r="C477" s="12" t="s">
        <v>975</v>
      </c>
      <c r="D477" s="12" t="s">
        <v>228</v>
      </c>
      <c r="E477" s="12" t="s">
        <v>1862</v>
      </c>
      <c r="F477" s="12" t="s">
        <v>56</v>
      </c>
      <c r="G477" s="12" t="s">
        <v>2945</v>
      </c>
      <c r="H477" s="12"/>
      <c r="I477" s="12"/>
      <c r="J477" s="12"/>
      <c r="K477" s="45">
        <v>44350</v>
      </c>
      <c r="L477" s="45">
        <v>44350</v>
      </c>
      <c r="M477" s="45">
        <v>44358</v>
      </c>
      <c r="N477" s="12" t="s">
        <v>59</v>
      </c>
      <c r="O477" s="12" t="s">
        <v>60</v>
      </c>
      <c r="P477" s="12"/>
      <c r="Q477" s="12"/>
      <c r="R477" s="12" t="s">
        <v>1904</v>
      </c>
      <c r="S477" s="12"/>
      <c r="T477"/>
    </row>
    <row r="478" spans="1:20" ht="409.5" x14ac:dyDescent="0.25">
      <c r="A478" s="12" t="s">
        <v>2946</v>
      </c>
      <c r="B478" s="12" t="s">
        <v>182</v>
      </c>
      <c r="C478" s="12" t="s">
        <v>975</v>
      </c>
      <c r="D478" s="12" t="s">
        <v>220</v>
      </c>
      <c r="E478" s="12" t="s">
        <v>1862</v>
      </c>
      <c r="F478" s="12" t="s">
        <v>56</v>
      </c>
      <c r="G478" s="12" t="s">
        <v>2947</v>
      </c>
      <c r="H478" s="12"/>
      <c r="I478" s="12"/>
      <c r="J478" s="12" t="s">
        <v>1381</v>
      </c>
      <c r="K478" s="45">
        <v>45097</v>
      </c>
      <c r="L478" s="45">
        <v>45097</v>
      </c>
      <c r="M478" s="45">
        <v>45100</v>
      </c>
      <c r="N478" s="12" t="s">
        <v>59</v>
      </c>
      <c r="O478" s="12" t="s">
        <v>60</v>
      </c>
      <c r="P478" s="12"/>
      <c r="Q478" s="12"/>
      <c r="R478" s="12" t="s">
        <v>1978</v>
      </c>
      <c r="S478" s="12"/>
      <c r="T478"/>
    </row>
    <row r="479" spans="1:20" ht="409.5" x14ac:dyDescent="0.25">
      <c r="A479" s="12" t="s">
        <v>2948</v>
      </c>
      <c r="B479" s="12" t="s">
        <v>182</v>
      </c>
      <c r="C479" s="12" t="s">
        <v>975</v>
      </c>
      <c r="D479" s="12" t="s">
        <v>236</v>
      </c>
      <c r="E479" s="12" t="s">
        <v>1862</v>
      </c>
      <c r="F479" s="12" t="s">
        <v>56</v>
      </c>
      <c r="G479" s="12" t="s">
        <v>1876</v>
      </c>
      <c r="H479" s="12"/>
      <c r="I479" s="12"/>
      <c r="J479" s="12" t="s">
        <v>1867</v>
      </c>
      <c r="K479" s="45">
        <v>43622</v>
      </c>
      <c r="L479" s="45">
        <v>43622</v>
      </c>
      <c r="M479" s="45">
        <v>43630</v>
      </c>
      <c r="N479" s="12" t="s">
        <v>59</v>
      </c>
      <c r="O479" s="12" t="s">
        <v>60</v>
      </c>
      <c r="P479" s="12"/>
      <c r="Q479" s="12"/>
      <c r="R479" s="12" t="s">
        <v>1877</v>
      </c>
      <c r="S479" s="12"/>
      <c r="T479"/>
    </row>
    <row r="480" spans="1:20" ht="409.5" x14ac:dyDescent="0.25">
      <c r="A480" s="12" t="s">
        <v>2949</v>
      </c>
      <c r="B480" s="12" t="s">
        <v>182</v>
      </c>
      <c r="C480" s="12" t="s">
        <v>975</v>
      </c>
      <c r="D480" s="12" t="s">
        <v>224</v>
      </c>
      <c r="E480" s="12" t="s">
        <v>1862</v>
      </c>
      <c r="F480" s="12" t="s">
        <v>212</v>
      </c>
      <c r="G480" s="12" t="s">
        <v>2950</v>
      </c>
      <c r="H480" s="12"/>
      <c r="I480" s="12"/>
      <c r="J480" s="12"/>
      <c r="K480" s="45">
        <v>44651</v>
      </c>
      <c r="L480" s="45">
        <v>44651</v>
      </c>
      <c r="M480" s="45">
        <v>44678</v>
      </c>
      <c r="N480" s="12" t="s">
        <v>59</v>
      </c>
      <c r="O480" s="12" t="s">
        <v>60</v>
      </c>
      <c r="P480" s="12"/>
      <c r="Q480" s="12"/>
      <c r="R480" s="12" t="s">
        <v>1900</v>
      </c>
      <c r="S480" s="12"/>
      <c r="T480"/>
    </row>
    <row r="481" spans="1:20" ht="315" x14ac:dyDescent="0.25">
      <c r="A481" s="12" t="s">
        <v>2951</v>
      </c>
      <c r="B481" s="12" t="s">
        <v>182</v>
      </c>
      <c r="C481" s="12" t="s">
        <v>975</v>
      </c>
      <c r="D481" s="12" t="s">
        <v>220</v>
      </c>
      <c r="E481" s="12" t="s">
        <v>1862</v>
      </c>
      <c r="F481" s="12" t="s">
        <v>1307</v>
      </c>
      <c r="G481" s="12" t="s">
        <v>2952</v>
      </c>
      <c r="H481" s="12"/>
      <c r="I481" s="12"/>
      <c r="J481" s="12"/>
      <c r="K481" s="45">
        <v>45274</v>
      </c>
      <c r="L481" s="45">
        <v>45274</v>
      </c>
      <c r="M481" s="45">
        <v>45275</v>
      </c>
      <c r="N481" s="12" t="s">
        <v>59</v>
      </c>
      <c r="O481" s="12" t="s">
        <v>60</v>
      </c>
      <c r="P481" s="12"/>
      <c r="Q481" s="12"/>
      <c r="R481" s="12" t="s">
        <v>1963</v>
      </c>
      <c r="S481" s="12"/>
      <c r="T481"/>
    </row>
    <row r="482" spans="1:20" ht="409.5" x14ac:dyDescent="0.25">
      <c r="A482" s="12" t="s">
        <v>2953</v>
      </c>
      <c r="B482" s="12" t="s">
        <v>186</v>
      </c>
      <c r="C482" s="12" t="s">
        <v>187</v>
      </c>
      <c r="D482" s="12" t="s">
        <v>55</v>
      </c>
      <c r="E482" s="12" t="s">
        <v>1862</v>
      </c>
      <c r="F482" s="12" t="s">
        <v>56</v>
      </c>
      <c r="G482" s="12" t="s">
        <v>1870</v>
      </c>
      <c r="H482" s="12"/>
      <c r="I482" s="12"/>
      <c r="J482" s="12"/>
      <c r="K482" s="45">
        <v>43187</v>
      </c>
      <c r="L482" s="45">
        <v>43187</v>
      </c>
      <c r="M482" s="45">
        <v>43187</v>
      </c>
      <c r="N482" s="12" t="s">
        <v>91</v>
      </c>
      <c r="O482" s="12" t="s">
        <v>60</v>
      </c>
      <c r="P482" s="12"/>
      <c r="Q482" s="12"/>
      <c r="R482" s="12" t="s">
        <v>1871</v>
      </c>
      <c r="S482" s="12"/>
      <c r="T482"/>
    </row>
    <row r="483" spans="1:20" ht="195" x14ac:dyDescent="0.25">
      <c r="A483" s="12" t="s">
        <v>2954</v>
      </c>
      <c r="B483" s="12" t="s">
        <v>186</v>
      </c>
      <c r="C483" s="12" t="s">
        <v>187</v>
      </c>
      <c r="D483" s="12" t="s">
        <v>126</v>
      </c>
      <c r="E483" s="12" t="s">
        <v>1862</v>
      </c>
      <c r="F483" s="12" t="s">
        <v>56</v>
      </c>
      <c r="G483" s="12" t="s">
        <v>1879</v>
      </c>
      <c r="H483" s="12"/>
      <c r="I483" s="12"/>
      <c r="J483" s="12" t="s">
        <v>1867</v>
      </c>
      <c r="K483" s="45">
        <v>42605</v>
      </c>
      <c r="L483" s="45"/>
      <c r="M483" s="45">
        <v>42605</v>
      </c>
      <c r="N483" s="12" t="s">
        <v>91</v>
      </c>
      <c r="O483" s="12" t="s">
        <v>60</v>
      </c>
      <c r="P483" s="12"/>
      <c r="Q483" s="12"/>
      <c r="R483" s="12" t="s">
        <v>1881</v>
      </c>
      <c r="S483" s="12"/>
      <c r="T483"/>
    </row>
    <row r="484" spans="1:20" ht="409.5" x14ac:dyDescent="0.25">
      <c r="A484" s="12" t="s">
        <v>2955</v>
      </c>
      <c r="B484" s="12" t="s">
        <v>186</v>
      </c>
      <c r="C484" s="12" t="s">
        <v>187</v>
      </c>
      <c r="D484" s="12" t="s">
        <v>236</v>
      </c>
      <c r="E484" s="12" t="s">
        <v>1862</v>
      </c>
      <c r="F484" s="12" t="s">
        <v>56</v>
      </c>
      <c r="G484" s="12" t="s">
        <v>2956</v>
      </c>
      <c r="H484" s="12"/>
      <c r="I484" s="12"/>
      <c r="J484" s="12" t="s">
        <v>1867</v>
      </c>
      <c r="K484" s="45">
        <v>43549</v>
      </c>
      <c r="L484" s="45">
        <v>43549</v>
      </c>
      <c r="M484" s="45">
        <v>43549</v>
      </c>
      <c r="N484" s="12" t="s">
        <v>59</v>
      </c>
      <c r="O484" s="12" t="s">
        <v>60</v>
      </c>
      <c r="P484" s="12"/>
      <c r="Q484" s="12"/>
      <c r="R484" s="12" t="s">
        <v>1877</v>
      </c>
      <c r="S484" s="12"/>
      <c r="T484"/>
    </row>
    <row r="485" spans="1:20" ht="315" x14ac:dyDescent="0.25">
      <c r="A485" s="12" t="s">
        <v>2957</v>
      </c>
      <c r="B485" s="12" t="s">
        <v>186</v>
      </c>
      <c r="C485" s="12" t="s">
        <v>187</v>
      </c>
      <c r="D485" s="12" t="s">
        <v>236</v>
      </c>
      <c r="E485" s="12" t="s">
        <v>1862</v>
      </c>
      <c r="F485" s="12" t="s">
        <v>56</v>
      </c>
      <c r="G485" s="12" t="s">
        <v>1866</v>
      </c>
      <c r="H485" s="12"/>
      <c r="I485" s="12"/>
      <c r="J485" s="12" t="s">
        <v>1867</v>
      </c>
      <c r="K485" s="45">
        <v>43622</v>
      </c>
      <c r="L485" s="45">
        <v>43622</v>
      </c>
      <c r="M485" s="45">
        <v>43622</v>
      </c>
      <c r="N485" s="12" t="s">
        <v>59</v>
      </c>
      <c r="O485" s="12" t="s">
        <v>60</v>
      </c>
      <c r="P485" s="12"/>
      <c r="Q485" s="12"/>
      <c r="R485" s="12" t="s">
        <v>1868</v>
      </c>
      <c r="S485" s="12" t="s">
        <v>2958</v>
      </c>
      <c r="T485"/>
    </row>
    <row r="486" spans="1:20" ht="409.5" x14ac:dyDescent="0.25">
      <c r="A486" s="12" t="s">
        <v>2959</v>
      </c>
      <c r="B486" s="12" t="s">
        <v>186</v>
      </c>
      <c r="C486" s="12" t="s">
        <v>187</v>
      </c>
      <c r="D486" s="12" t="s">
        <v>236</v>
      </c>
      <c r="E486" s="12" t="s">
        <v>1862</v>
      </c>
      <c r="F486" s="12" t="s">
        <v>56</v>
      </c>
      <c r="G486" s="12" t="s">
        <v>2930</v>
      </c>
      <c r="H486" s="12"/>
      <c r="I486" s="12"/>
      <c r="J486" s="12" t="s">
        <v>1867</v>
      </c>
      <c r="K486" s="45">
        <v>43482</v>
      </c>
      <c r="L486" s="45">
        <v>43482</v>
      </c>
      <c r="M486" s="45">
        <v>43482</v>
      </c>
      <c r="N486" s="12" t="s">
        <v>59</v>
      </c>
      <c r="O486" s="12" t="s">
        <v>60</v>
      </c>
      <c r="P486" s="12"/>
      <c r="Q486" s="12"/>
      <c r="R486" s="12" t="s">
        <v>1874</v>
      </c>
      <c r="S486" s="12"/>
      <c r="T486"/>
    </row>
    <row r="487" spans="1:20" ht="360" x14ac:dyDescent="0.25">
      <c r="A487" s="12" t="s">
        <v>2960</v>
      </c>
      <c r="B487" s="12" t="s">
        <v>186</v>
      </c>
      <c r="C487" s="12" t="s">
        <v>187</v>
      </c>
      <c r="D487" s="12" t="s">
        <v>126</v>
      </c>
      <c r="E487" s="12" t="s">
        <v>1883</v>
      </c>
      <c r="F487" s="12" t="s">
        <v>56</v>
      </c>
      <c r="G487" s="12" t="s">
        <v>2961</v>
      </c>
      <c r="H487" s="12"/>
      <c r="I487" s="12"/>
      <c r="J487" s="12"/>
      <c r="K487" s="45">
        <v>42640</v>
      </c>
      <c r="L487" s="45">
        <v>42640</v>
      </c>
      <c r="M487" s="45">
        <v>42641</v>
      </c>
      <c r="N487" s="12" t="s">
        <v>91</v>
      </c>
      <c r="O487" s="12" t="s">
        <v>60</v>
      </c>
      <c r="P487" s="12"/>
      <c r="Q487" s="12"/>
      <c r="R487" s="12" t="s">
        <v>1864</v>
      </c>
      <c r="S487" s="12"/>
      <c r="T487"/>
    </row>
    <row r="488" spans="1:20" ht="105" x14ac:dyDescent="0.25">
      <c r="A488" s="12" t="s">
        <v>2962</v>
      </c>
      <c r="B488" s="12" t="s">
        <v>191</v>
      </c>
      <c r="C488" s="12" t="s">
        <v>192</v>
      </c>
      <c r="D488" s="12" t="s">
        <v>252</v>
      </c>
      <c r="E488" s="12" t="s">
        <v>1862</v>
      </c>
      <c r="F488" s="12" t="s">
        <v>56</v>
      </c>
      <c r="G488" s="12" t="s">
        <v>2963</v>
      </c>
      <c r="H488" s="12"/>
      <c r="I488" s="12"/>
      <c r="J488" s="12" t="s">
        <v>2964</v>
      </c>
      <c r="K488" s="45">
        <v>45376</v>
      </c>
      <c r="L488" s="45">
        <v>45376</v>
      </c>
      <c r="M488" s="45">
        <v>45376</v>
      </c>
      <c r="N488" s="12" t="s">
        <v>59</v>
      </c>
      <c r="O488" s="12" t="s">
        <v>60</v>
      </c>
      <c r="P488" s="12"/>
      <c r="Q488" s="12"/>
      <c r="R488" s="12" t="s">
        <v>2965</v>
      </c>
      <c r="S488" s="12"/>
      <c r="T488"/>
    </row>
    <row r="489" spans="1:20" ht="409.5" x14ac:dyDescent="0.25">
      <c r="A489" s="12" t="s">
        <v>2966</v>
      </c>
      <c r="B489" s="12" t="s">
        <v>191</v>
      </c>
      <c r="C489" s="12" t="s">
        <v>192</v>
      </c>
      <c r="D489" s="12" t="s">
        <v>228</v>
      </c>
      <c r="E489" s="12" t="s">
        <v>1862</v>
      </c>
      <c r="F489" s="12" t="s">
        <v>212</v>
      </c>
      <c r="G489" s="12" t="s">
        <v>2967</v>
      </c>
      <c r="H489" s="12" t="s">
        <v>2968</v>
      </c>
      <c r="I489" s="12"/>
      <c r="J489" s="12"/>
      <c r="K489" s="45">
        <v>44377</v>
      </c>
      <c r="L489" s="45">
        <v>44377</v>
      </c>
      <c r="M489" s="45">
        <v>44378</v>
      </c>
      <c r="N489" s="12" t="s">
        <v>59</v>
      </c>
      <c r="O489" s="12" t="s">
        <v>60</v>
      </c>
      <c r="P489" s="12"/>
      <c r="Q489" s="12"/>
      <c r="R489" s="12" t="s">
        <v>1938</v>
      </c>
      <c r="S489" s="12"/>
      <c r="T489"/>
    </row>
    <row r="490" spans="1:20" ht="409.5" x14ac:dyDescent="0.25">
      <c r="A490" s="12" t="s">
        <v>2969</v>
      </c>
      <c r="B490" s="12" t="s">
        <v>191</v>
      </c>
      <c r="C490" s="12" t="s">
        <v>192</v>
      </c>
      <c r="D490" s="12" t="s">
        <v>224</v>
      </c>
      <c r="E490" s="12" t="s">
        <v>1862</v>
      </c>
      <c r="F490" s="12" t="s">
        <v>212</v>
      </c>
      <c r="G490" s="12" t="s">
        <v>2970</v>
      </c>
      <c r="H490" s="12" t="s">
        <v>2968</v>
      </c>
      <c r="I490" s="12"/>
      <c r="J490" s="12"/>
      <c r="K490" s="45">
        <v>44697</v>
      </c>
      <c r="L490" s="45">
        <v>44697</v>
      </c>
      <c r="M490" s="45">
        <v>44708</v>
      </c>
      <c r="N490" s="12" t="s">
        <v>59</v>
      </c>
      <c r="O490" s="12" t="s">
        <v>60</v>
      </c>
      <c r="P490" s="12"/>
      <c r="Q490" s="12"/>
      <c r="R490" s="12" t="s">
        <v>1897</v>
      </c>
      <c r="S490" s="12"/>
      <c r="T490"/>
    </row>
    <row r="491" spans="1:20" ht="180" x14ac:dyDescent="0.25">
      <c r="A491" s="12" t="s">
        <v>2971</v>
      </c>
      <c r="B491" s="12" t="s">
        <v>191</v>
      </c>
      <c r="C491" s="12" t="s">
        <v>192</v>
      </c>
      <c r="D491" s="12" t="s">
        <v>236</v>
      </c>
      <c r="E491" s="12" t="s">
        <v>1862</v>
      </c>
      <c r="F491" s="12" t="s">
        <v>56</v>
      </c>
      <c r="G491" s="12" t="s">
        <v>2046</v>
      </c>
      <c r="H491" s="12" t="s">
        <v>2968</v>
      </c>
      <c r="I491" s="12"/>
      <c r="J491" s="12" t="s">
        <v>2755</v>
      </c>
      <c r="K491" s="45">
        <v>43552</v>
      </c>
      <c r="L491" s="45">
        <v>43552</v>
      </c>
      <c r="M491" s="45">
        <v>43556</v>
      </c>
      <c r="N491" s="12" t="s">
        <v>91</v>
      </c>
      <c r="O491" s="12" t="s">
        <v>60</v>
      </c>
      <c r="P491" s="12"/>
      <c r="Q491" s="12"/>
      <c r="R491" s="12" t="s">
        <v>1929</v>
      </c>
      <c r="S491" s="12"/>
      <c r="T491"/>
    </row>
    <row r="492" spans="1:20" ht="330" x14ac:dyDescent="0.25">
      <c r="A492" s="12" t="s">
        <v>2972</v>
      </c>
      <c r="B492" s="12" t="s">
        <v>191</v>
      </c>
      <c r="C492" s="12" t="s">
        <v>192</v>
      </c>
      <c r="D492" s="12" t="s">
        <v>236</v>
      </c>
      <c r="E492" s="12" t="s">
        <v>1862</v>
      </c>
      <c r="F492" s="12" t="s">
        <v>56</v>
      </c>
      <c r="G492" s="12" t="s">
        <v>2973</v>
      </c>
      <c r="H492" s="12" t="s">
        <v>2968</v>
      </c>
      <c r="I492" s="12"/>
      <c r="J492" s="12" t="s">
        <v>1867</v>
      </c>
      <c r="K492" s="45">
        <v>43511</v>
      </c>
      <c r="L492" s="45">
        <v>43511</v>
      </c>
      <c r="M492" s="45">
        <v>43521</v>
      </c>
      <c r="N492" s="12" t="s">
        <v>59</v>
      </c>
      <c r="O492" s="12" t="s">
        <v>60</v>
      </c>
      <c r="P492" s="12"/>
      <c r="Q492" s="12"/>
      <c r="R492" s="12" t="s">
        <v>1868</v>
      </c>
      <c r="S492" s="12"/>
      <c r="T492"/>
    </row>
    <row r="493" spans="1:20" ht="409.5" x14ac:dyDescent="0.25">
      <c r="A493" s="12" t="s">
        <v>2974</v>
      </c>
      <c r="B493" s="12" t="s">
        <v>191</v>
      </c>
      <c r="C493" s="12" t="s">
        <v>192</v>
      </c>
      <c r="D493" s="12" t="s">
        <v>228</v>
      </c>
      <c r="E493" s="12" t="s">
        <v>1862</v>
      </c>
      <c r="F493" s="12" t="s">
        <v>56</v>
      </c>
      <c r="G493" s="12" t="s">
        <v>2975</v>
      </c>
      <c r="H493" s="12" t="s">
        <v>2968</v>
      </c>
      <c r="I493" s="12"/>
      <c r="J493" s="12"/>
      <c r="K493" s="45">
        <v>44340</v>
      </c>
      <c r="L493" s="45">
        <v>44340</v>
      </c>
      <c r="M493" s="45">
        <v>44351</v>
      </c>
      <c r="N493" s="12" t="s">
        <v>59</v>
      </c>
      <c r="O493" s="12" t="s">
        <v>60</v>
      </c>
      <c r="P493" s="12"/>
      <c r="Q493" s="12"/>
      <c r="R493" s="12" t="s">
        <v>1904</v>
      </c>
      <c r="S493" s="12"/>
      <c r="T493"/>
    </row>
    <row r="494" spans="1:20" ht="375" x14ac:dyDescent="0.25">
      <c r="A494" s="12" t="s">
        <v>2976</v>
      </c>
      <c r="B494" s="12" t="s">
        <v>191</v>
      </c>
      <c r="C494" s="12" t="s">
        <v>192</v>
      </c>
      <c r="D494" s="12" t="s">
        <v>224</v>
      </c>
      <c r="E494" s="12" t="s">
        <v>1862</v>
      </c>
      <c r="F494" s="12" t="s">
        <v>212</v>
      </c>
      <c r="G494" s="12" t="s">
        <v>2977</v>
      </c>
      <c r="H494" s="12" t="s">
        <v>2968</v>
      </c>
      <c r="I494" s="12"/>
      <c r="J494" s="12"/>
      <c r="K494" s="45">
        <v>44697</v>
      </c>
      <c r="L494" s="45">
        <v>44697</v>
      </c>
      <c r="M494" s="45">
        <v>44708</v>
      </c>
      <c r="N494" s="12" t="s">
        <v>59</v>
      </c>
      <c r="O494" s="12" t="s">
        <v>60</v>
      </c>
      <c r="P494" s="12"/>
      <c r="Q494" s="12"/>
      <c r="R494" s="12" t="s">
        <v>1986</v>
      </c>
      <c r="S494" s="12"/>
      <c r="T494"/>
    </row>
    <row r="495" spans="1:20" ht="330" x14ac:dyDescent="0.25">
      <c r="A495" s="12" t="s">
        <v>2978</v>
      </c>
      <c r="B495" s="12" t="s">
        <v>191</v>
      </c>
      <c r="C495" s="12" t="s">
        <v>192</v>
      </c>
      <c r="D495" s="12" t="s">
        <v>252</v>
      </c>
      <c r="E495" s="12" t="s">
        <v>1862</v>
      </c>
      <c r="F495" s="12" t="s">
        <v>1307</v>
      </c>
      <c r="G495" s="12" t="s">
        <v>2979</v>
      </c>
      <c r="H495" s="12" t="s">
        <v>2247</v>
      </c>
      <c r="I495" s="12"/>
      <c r="J495" s="12" t="s">
        <v>2131</v>
      </c>
      <c r="K495" s="45">
        <v>45351</v>
      </c>
      <c r="L495" s="45">
        <v>45351</v>
      </c>
      <c r="M495" s="45">
        <v>45376</v>
      </c>
      <c r="N495" s="12" t="s">
        <v>59</v>
      </c>
      <c r="O495" s="12" t="s">
        <v>60</v>
      </c>
      <c r="P495" s="12"/>
      <c r="Q495" s="12"/>
      <c r="R495" s="12" t="s">
        <v>1963</v>
      </c>
      <c r="S495" s="12"/>
      <c r="T495"/>
    </row>
    <row r="496" spans="1:20" ht="409.5" x14ac:dyDescent="0.25">
      <c r="A496" s="12" t="s">
        <v>2980</v>
      </c>
      <c r="B496" s="12" t="s">
        <v>191</v>
      </c>
      <c r="C496" s="12" t="s">
        <v>192</v>
      </c>
      <c r="D496" s="12" t="s">
        <v>236</v>
      </c>
      <c r="E496" s="12" t="s">
        <v>1862</v>
      </c>
      <c r="F496" s="12" t="s">
        <v>56</v>
      </c>
      <c r="G496" s="12" t="s">
        <v>2779</v>
      </c>
      <c r="H496" s="12" t="s">
        <v>2968</v>
      </c>
      <c r="I496" s="12"/>
      <c r="J496" s="12" t="s">
        <v>1867</v>
      </c>
      <c r="K496" s="45">
        <v>43552</v>
      </c>
      <c r="L496" s="45">
        <v>43552</v>
      </c>
      <c r="M496" s="45">
        <v>43556</v>
      </c>
      <c r="N496" s="12" t="s">
        <v>59</v>
      </c>
      <c r="O496" s="12" t="s">
        <v>60</v>
      </c>
      <c r="P496" s="12"/>
      <c r="Q496" s="12"/>
      <c r="R496" s="12" t="s">
        <v>1877</v>
      </c>
      <c r="S496" s="12"/>
      <c r="T496"/>
    </row>
    <row r="497" spans="1:20" ht="409.5" x14ac:dyDescent="0.25">
      <c r="A497" s="12" t="s">
        <v>2981</v>
      </c>
      <c r="B497" s="12" t="s">
        <v>191</v>
      </c>
      <c r="C497" s="12" t="s">
        <v>192</v>
      </c>
      <c r="D497" s="12" t="s">
        <v>228</v>
      </c>
      <c r="E497" s="12" t="s">
        <v>1862</v>
      </c>
      <c r="F497" s="12" t="s">
        <v>212</v>
      </c>
      <c r="G497" s="12" t="s">
        <v>2982</v>
      </c>
      <c r="H497" s="12" t="s">
        <v>2968</v>
      </c>
      <c r="I497" s="12"/>
      <c r="J497" s="12" t="s">
        <v>2330</v>
      </c>
      <c r="K497" s="45">
        <v>44377</v>
      </c>
      <c r="L497" s="45">
        <v>44377</v>
      </c>
      <c r="M497" s="45">
        <v>44378</v>
      </c>
      <c r="N497" s="12" t="s">
        <v>59</v>
      </c>
      <c r="O497" s="12" t="s">
        <v>60</v>
      </c>
      <c r="P497" s="12"/>
      <c r="Q497" s="12"/>
      <c r="R497" s="12" t="s">
        <v>1922</v>
      </c>
      <c r="S497" s="12"/>
      <c r="T497"/>
    </row>
    <row r="498" spans="1:20" ht="330" x14ac:dyDescent="0.25">
      <c r="A498" s="12" t="s">
        <v>2983</v>
      </c>
      <c r="B498" s="12" t="s">
        <v>191</v>
      </c>
      <c r="C498" s="12" t="s">
        <v>192</v>
      </c>
      <c r="D498" s="12" t="s">
        <v>252</v>
      </c>
      <c r="E498" s="12" t="s">
        <v>1862</v>
      </c>
      <c r="F498" s="12" t="s">
        <v>1307</v>
      </c>
      <c r="G498" s="12" t="s">
        <v>2984</v>
      </c>
      <c r="H498" s="12" t="s">
        <v>2580</v>
      </c>
      <c r="I498" s="12"/>
      <c r="J498" s="12" t="s">
        <v>2131</v>
      </c>
      <c r="K498" s="45">
        <v>45376</v>
      </c>
      <c r="L498" s="45">
        <v>45376</v>
      </c>
      <c r="M498" s="45">
        <v>45376</v>
      </c>
      <c r="N498" s="12" t="s">
        <v>59</v>
      </c>
      <c r="O498" s="12" t="s">
        <v>60</v>
      </c>
      <c r="P498" s="12"/>
      <c r="Q498" s="12"/>
      <c r="R498" s="12" t="s">
        <v>1932</v>
      </c>
      <c r="S498" s="12"/>
      <c r="T498"/>
    </row>
    <row r="499" spans="1:20" ht="409.5" x14ac:dyDescent="0.25">
      <c r="A499" s="12" t="s">
        <v>2985</v>
      </c>
      <c r="B499" s="12" t="s">
        <v>191</v>
      </c>
      <c r="C499" s="12" t="s">
        <v>192</v>
      </c>
      <c r="D499" s="12" t="s">
        <v>252</v>
      </c>
      <c r="E499" s="12" t="s">
        <v>1862</v>
      </c>
      <c r="F499" s="12" t="s">
        <v>56</v>
      </c>
      <c r="G499" s="12" t="s">
        <v>2986</v>
      </c>
      <c r="H499" s="12"/>
      <c r="I499" s="12"/>
      <c r="J499" s="12" t="s">
        <v>915</v>
      </c>
      <c r="K499" s="45">
        <v>45376</v>
      </c>
      <c r="L499" s="45">
        <v>45376</v>
      </c>
      <c r="M499" s="45">
        <v>45376</v>
      </c>
      <c r="N499" s="12" t="s">
        <v>59</v>
      </c>
      <c r="O499" s="12" t="s">
        <v>60</v>
      </c>
      <c r="P499" s="12"/>
      <c r="Q499" s="12"/>
      <c r="R499" s="12" t="s">
        <v>1886</v>
      </c>
      <c r="S499" s="12"/>
      <c r="T499"/>
    </row>
    <row r="500" spans="1:20" ht="409.5" x14ac:dyDescent="0.25">
      <c r="A500" s="12" t="s">
        <v>2987</v>
      </c>
      <c r="B500" s="12" t="s">
        <v>191</v>
      </c>
      <c r="C500" s="12" t="s">
        <v>192</v>
      </c>
      <c r="D500" s="12" t="s">
        <v>55</v>
      </c>
      <c r="E500" s="12" t="s">
        <v>1862</v>
      </c>
      <c r="F500" s="12" t="s">
        <v>56</v>
      </c>
      <c r="G500" s="12" t="s">
        <v>1870</v>
      </c>
      <c r="H500" s="12" t="s">
        <v>2968</v>
      </c>
      <c r="I500" s="12"/>
      <c r="J500" s="12"/>
      <c r="K500" s="45">
        <v>43198</v>
      </c>
      <c r="L500" s="45">
        <v>43198</v>
      </c>
      <c r="M500" s="45">
        <v>43206</v>
      </c>
      <c r="N500" s="12" t="s">
        <v>91</v>
      </c>
      <c r="O500" s="12" t="s">
        <v>60</v>
      </c>
      <c r="P500" s="12"/>
      <c r="Q500" s="12"/>
      <c r="R500" s="12" t="s">
        <v>1871</v>
      </c>
      <c r="S500" s="12"/>
      <c r="T500"/>
    </row>
    <row r="501" spans="1:20" ht="330" x14ac:dyDescent="0.25">
      <c r="A501" s="12" t="s">
        <v>2988</v>
      </c>
      <c r="B501" s="12" t="s">
        <v>191</v>
      </c>
      <c r="C501" s="12" t="s">
        <v>192</v>
      </c>
      <c r="D501" s="12" t="s">
        <v>224</v>
      </c>
      <c r="E501" s="12" t="s">
        <v>1862</v>
      </c>
      <c r="F501" s="12" t="s">
        <v>212</v>
      </c>
      <c r="G501" s="12" t="s">
        <v>2989</v>
      </c>
      <c r="H501" s="12" t="s">
        <v>2968</v>
      </c>
      <c r="I501" s="12"/>
      <c r="J501" s="12"/>
      <c r="K501" s="45">
        <v>44697</v>
      </c>
      <c r="L501" s="45">
        <v>44697</v>
      </c>
      <c r="M501" s="45">
        <v>44708</v>
      </c>
      <c r="N501" s="12" t="s">
        <v>59</v>
      </c>
      <c r="O501" s="12" t="s">
        <v>60</v>
      </c>
      <c r="P501" s="12"/>
      <c r="Q501" s="12"/>
      <c r="R501" s="12" t="s">
        <v>1900</v>
      </c>
      <c r="S501" s="12"/>
      <c r="T501"/>
    </row>
    <row r="502" spans="1:20" ht="180" x14ac:dyDescent="0.25">
      <c r="A502" s="12" t="s">
        <v>2990</v>
      </c>
      <c r="B502" s="12" t="s">
        <v>191</v>
      </c>
      <c r="C502" s="12" t="s">
        <v>192</v>
      </c>
      <c r="D502" s="12" t="s">
        <v>55</v>
      </c>
      <c r="E502" s="12" t="s">
        <v>1862</v>
      </c>
      <c r="F502" s="12" t="s">
        <v>56</v>
      </c>
      <c r="G502" s="12" t="s">
        <v>1863</v>
      </c>
      <c r="H502" s="12" t="s">
        <v>2968</v>
      </c>
      <c r="I502" s="12"/>
      <c r="J502" s="12" t="s">
        <v>1867</v>
      </c>
      <c r="K502" s="45">
        <v>43198</v>
      </c>
      <c r="L502" s="45">
        <v>43198</v>
      </c>
      <c r="M502" s="45">
        <v>43223</v>
      </c>
      <c r="N502" s="12" t="s">
        <v>91</v>
      </c>
      <c r="O502" s="12" t="s">
        <v>60</v>
      </c>
      <c r="P502" s="12"/>
      <c r="Q502" s="12"/>
      <c r="R502" s="12" t="s">
        <v>1864</v>
      </c>
      <c r="S502" s="12"/>
      <c r="T502"/>
    </row>
    <row r="503" spans="1:20" ht="409.5" x14ac:dyDescent="0.25">
      <c r="A503" s="12" t="s">
        <v>2991</v>
      </c>
      <c r="B503" s="12" t="s">
        <v>191</v>
      </c>
      <c r="C503" s="12" t="s">
        <v>192</v>
      </c>
      <c r="D503" s="12" t="s">
        <v>55</v>
      </c>
      <c r="E503" s="12" t="s">
        <v>1862</v>
      </c>
      <c r="F503" s="12" t="s">
        <v>56</v>
      </c>
      <c r="G503" s="12" t="s">
        <v>2930</v>
      </c>
      <c r="H503" s="12" t="s">
        <v>2968</v>
      </c>
      <c r="I503" s="12"/>
      <c r="J503" s="12" t="s">
        <v>1867</v>
      </c>
      <c r="K503" s="45">
        <v>43271</v>
      </c>
      <c r="L503" s="45">
        <v>43271</v>
      </c>
      <c r="M503" s="45">
        <v>43439</v>
      </c>
      <c r="N503" s="12" t="s">
        <v>59</v>
      </c>
      <c r="O503" s="12" t="s">
        <v>60</v>
      </c>
      <c r="P503" s="12"/>
      <c r="Q503" s="12"/>
      <c r="R503" s="12" t="s">
        <v>1874</v>
      </c>
      <c r="S503" s="12"/>
      <c r="T503"/>
    </row>
    <row r="504" spans="1:20" ht="210" x14ac:dyDescent="0.25">
      <c r="A504" s="12" t="s">
        <v>2992</v>
      </c>
      <c r="B504" s="12" t="s">
        <v>191</v>
      </c>
      <c r="C504" s="12" t="s">
        <v>192</v>
      </c>
      <c r="D504" s="12" t="s">
        <v>220</v>
      </c>
      <c r="E504" s="12" t="s">
        <v>1862</v>
      </c>
      <c r="F504" s="12" t="s">
        <v>212</v>
      </c>
      <c r="G504" s="12" t="s">
        <v>2993</v>
      </c>
      <c r="H504" s="12"/>
      <c r="I504" s="12"/>
      <c r="J504" s="12" t="s">
        <v>1867</v>
      </c>
      <c r="K504" s="45">
        <v>45281</v>
      </c>
      <c r="L504" s="45">
        <v>45281</v>
      </c>
      <c r="M504" s="45">
        <v>45281</v>
      </c>
      <c r="N504" s="12" t="s">
        <v>59</v>
      </c>
      <c r="O504" s="12" t="s">
        <v>60</v>
      </c>
      <c r="P504" s="12"/>
      <c r="Q504" s="12"/>
      <c r="R504" s="12" t="s">
        <v>2194</v>
      </c>
      <c r="S504" s="12"/>
      <c r="T504"/>
    </row>
    <row r="505" spans="1:20" ht="409.5" x14ac:dyDescent="0.25">
      <c r="A505" s="12" t="s">
        <v>2994</v>
      </c>
      <c r="B505" s="12" t="s">
        <v>191</v>
      </c>
      <c r="C505" s="12" t="s">
        <v>192</v>
      </c>
      <c r="D505" s="12" t="s">
        <v>228</v>
      </c>
      <c r="E505" s="12" t="s">
        <v>1862</v>
      </c>
      <c r="F505" s="12" t="s">
        <v>212</v>
      </c>
      <c r="G505" s="12" t="s">
        <v>2995</v>
      </c>
      <c r="H505" s="12" t="s">
        <v>2968</v>
      </c>
      <c r="I505" s="12"/>
      <c r="J505" s="12" t="s">
        <v>2330</v>
      </c>
      <c r="K505" s="45">
        <v>44377</v>
      </c>
      <c r="L505" s="45">
        <v>44377</v>
      </c>
      <c r="M505" s="45">
        <v>44378</v>
      </c>
      <c r="N505" s="12" t="s">
        <v>59</v>
      </c>
      <c r="O505" s="12" t="s">
        <v>60</v>
      </c>
      <c r="P505" s="12"/>
      <c r="Q505" s="12"/>
      <c r="R505" s="12" t="s">
        <v>1894</v>
      </c>
      <c r="S505" s="12"/>
      <c r="T505"/>
    </row>
    <row r="506" spans="1:20" ht="405" x14ac:dyDescent="0.25">
      <c r="A506" s="12" t="s">
        <v>2996</v>
      </c>
      <c r="B506" s="12" t="s">
        <v>191</v>
      </c>
      <c r="C506" s="12" t="s">
        <v>192</v>
      </c>
      <c r="D506" s="12" t="s">
        <v>228</v>
      </c>
      <c r="E506" s="12" t="s">
        <v>1862</v>
      </c>
      <c r="F506" s="12" t="s">
        <v>212</v>
      </c>
      <c r="G506" s="12" t="s">
        <v>2997</v>
      </c>
      <c r="H506" s="12" t="s">
        <v>2968</v>
      </c>
      <c r="I506" s="12"/>
      <c r="J506" s="12"/>
      <c r="K506" s="45">
        <v>44431</v>
      </c>
      <c r="L506" s="45">
        <v>44431</v>
      </c>
      <c r="M506" s="45">
        <v>44441</v>
      </c>
      <c r="N506" s="12" t="s">
        <v>59</v>
      </c>
      <c r="O506" s="12" t="s">
        <v>60</v>
      </c>
      <c r="P506" s="12"/>
      <c r="Q506" s="12"/>
      <c r="R506" s="12" t="s">
        <v>1868</v>
      </c>
      <c r="S506" s="12"/>
      <c r="T506"/>
    </row>
    <row r="507" spans="1:20" ht="165" x14ac:dyDescent="0.25">
      <c r="A507" s="12" t="s">
        <v>2998</v>
      </c>
      <c r="B507" s="12" t="s">
        <v>191</v>
      </c>
      <c r="C507" s="12" t="s">
        <v>192</v>
      </c>
      <c r="D507" s="12" t="s">
        <v>224</v>
      </c>
      <c r="E507" s="12" t="s">
        <v>1862</v>
      </c>
      <c r="F507" s="12" t="s">
        <v>212</v>
      </c>
      <c r="G507" s="12" t="s">
        <v>2999</v>
      </c>
      <c r="H507" s="12" t="s">
        <v>2968</v>
      </c>
      <c r="I507" s="12"/>
      <c r="J507" s="12" t="s">
        <v>1381</v>
      </c>
      <c r="K507" s="45">
        <v>44760</v>
      </c>
      <c r="L507" s="45">
        <v>44760</v>
      </c>
      <c r="M507" s="45">
        <v>44760</v>
      </c>
      <c r="N507" s="12" t="s">
        <v>59</v>
      </c>
      <c r="O507" s="12" t="s">
        <v>60</v>
      </c>
      <c r="P507" s="12"/>
      <c r="Q507" s="12"/>
      <c r="R507" s="12" t="s">
        <v>1910</v>
      </c>
      <c r="S507" s="12"/>
      <c r="T507"/>
    </row>
    <row r="508" spans="1:20" ht="270" x14ac:dyDescent="0.25">
      <c r="A508" s="12" t="s">
        <v>3000</v>
      </c>
      <c r="B508" s="12" t="s">
        <v>194</v>
      </c>
      <c r="C508" s="12" t="s">
        <v>195</v>
      </c>
      <c r="D508" s="12" t="s">
        <v>224</v>
      </c>
      <c r="E508" s="12" t="s">
        <v>1862</v>
      </c>
      <c r="F508" s="12" t="s">
        <v>212</v>
      </c>
      <c r="G508" s="12" t="s">
        <v>3001</v>
      </c>
      <c r="H508" s="12"/>
      <c r="I508" s="12"/>
      <c r="J508" s="12" t="s">
        <v>90</v>
      </c>
      <c r="K508" s="45">
        <v>44705</v>
      </c>
      <c r="L508" s="45">
        <v>44705</v>
      </c>
      <c r="M508" s="45">
        <v>44706</v>
      </c>
      <c r="N508" s="12" t="s">
        <v>59</v>
      </c>
      <c r="O508" s="12" t="s">
        <v>60</v>
      </c>
      <c r="P508" s="12"/>
      <c r="Q508" s="12"/>
      <c r="R508" s="12" t="s">
        <v>1900</v>
      </c>
      <c r="S508" s="12" t="s">
        <v>3002</v>
      </c>
      <c r="T508"/>
    </row>
    <row r="509" spans="1:20" ht="360" x14ac:dyDescent="0.25">
      <c r="A509" s="12" t="s">
        <v>3003</v>
      </c>
      <c r="B509" s="12" t="s">
        <v>194</v>
      </c>
      <c r="C509" s="12" t="s">
        <v>195</v>
      </c>
      <c r="D509" s="12" t="s">
        <v>224</v>
      </c>
      <c r="E509" s="12" t="s">
        <v>1862</v>
      </c>
      <c r="F509" s="12" t="s">
        <v>212</v>
      </c>
      <c r="G509" s="12" t="s">
        <v>3004</v>
      </c>
      <c r="H509" s="12"/>
      <c r="I509" s="12"/>
      <c r="J509" s="12" t="s">
        <v>1381</v>
      </c>
      <c r="K509" s="45">
        <v>44824</v>
      </c>
      <c r="L509" s="45">
        <v>44824</v>
      </c>
      <c r="M509" s="45">
        <v>44827</v>
      </c>
      <c r="N509" s="12" t="s">
        <v>59</v>
      </c>
      <c r="O509" s="12" t="s">
        <v>60</v>
      </c>
      <c r="P509" s="12"/>
      <c r="Q509" s="12"/>
      <c r="R509" s="12" t="s">
        <v>1910</v>
      </c>
      <c r="S509" s="12" t="s">
        <v>3002</v>
      </c>
      <c r="T509"/>
    </row>
    <row r="510" spans="1:20" ht="165" x14ac:dyDescent="0.25">
      <c r="A510" s="12" t="s">
        <v>3005</v>
      </c>
      <c r="B510" s="12" t="s">
        <v>194</v>
      </c>
      <c r="C510" s="12" t="s">
        <v>195</v>
      </c>
      <c r="D510" s="12" t="s">
        <v>228</v>
      </c>
      <c r="E510" s="12" t="s">
        <v>1862</v>
      </c>
      <c r="F510" s="12" t="s">
        <v>212</v>
      </c>
      <c r="G510" s="12" t="s">
        <v>3006</v>
      </c>
      <c r="H510" s="12"/>
      <c r="I510" s="12"/>
      <c r="J510" s="12" t="s">
        <v>1867</v>
      </c>
      <c r="K510" s="45">
        <v>44391</v>
      </c>
      <c r="L510" s="45">
        <v>44391</v>
      </c>
      <c r="M510" s="45">
        <v>44398</v>
      </c>
      <c r="N510" s="12" t="s">
        <v>59</v>
      </c>
      <c r="O510" s="12" t="s">
        <v>60</v>
      </c>
      <c r="P510" s="12"/>
      <c r="Q510" s="12"/>
      <c r="R510" s="12" t="s">
        <v>1922</v>
      </c>
      <c r="S510" s="12" t="s">
        <v>3002</v>
      </c>
      <c r="T510"/>
    </row>
    <row r="511" spans="1:20" ht="150" x14ac:dyDescent="0.25">
      <c r="A511" s="12" t="s">
        <v>3007</v>
      </c>
      <c r="B511" s="12" t="s">
        <v>194</v>
      </c>
      <c r="C511" s="12" t="s">
        <v>195</v>
      </c>
      <c r="D511" s="12" t="s">
        <v>228</v>
      </c>
      <c r="E511" s="12" t="s">
        <v>1862</v>
      </c>
      <c r="F511" s="12" t="s">
        <v>212</v>
      </c>
      <c r="G511" s="12" t="s">
        <v>3008</v>
      </c>
      <c r="H511" s="12"/>
      <c r="I511" s="12"/>
      <c r="J511" s="12" t="s">
        <v>1867</v>
      </c>
      <c r="K511" s="45">
        <v>44391</v>
      </c>
      <c r="L511" s="45">
        <v>44391</v>
      </c>
      <c r="M511" s="45">
        <v>44398</v>
      </c>
      <c r="N511" s="12" t="s">
        <v>59</v>
      </c>
      <c r="O511" s="12" t="s">
        <v>60</v>
      </c>
      <c r="P511" s="12"/>
      <c r="Q511" s="12"/>
      <c r="R511" s="12" t="s">
        <v>1938</v>
      </c>
      <c r="S511" s="12" t="s">
        <v>3002</v>
      </c>
      <c r="T511"/>
    </row>
    <row r="512" spans="1:20" ht="270" x14ac:dyDescent="0.25">
      <c r="A512" s="12" t="s">
        <v>3009</v>
      </c>
      <c r="B512" s="12" t="s">
        <v>194</v>
      </c>
      <c r="C512" s="12" t="s">
        <v>195</v>
      </c>
      <c r="D512" s="12" t="s">
        <v>224</v>
      </c>
      <c r="E512" s="12" t="s">
        <v>1862</v>
      </c>
      <c r="F512" s="12" t="s">
        <v>212</v>
      </c>
      <c r="G512" s="12" t="s">
        <v>3010</v>
      </c>
      <c r="H512" s="12"/>
      <c r="I512" s="12"/>
      <c r="J512" s="12" t="s">
        <v>90</v>
      </c>
      <c r="K512" s="45">
        <v>44746</v>
      </c>
      <c r="L512" s="45">
        <v>44746</v>
      </c>
      <c r="M512" s="45">
        <v>44748</v>
      </c>
      <c r="N512" s="12" t="s">
        <v>59</v>
      </c>
      <c r="O512" s="12" t="s">
        <v>60</v>
      </c>
      <c r="P512" s="12"/>
      <c r="Q512" s="12"/>
      <c r="R512" s="12" t="s">
        <v>1986</v>
      </c>
      <c r="S512" s="12" t="s">
        <v>3002</v>
      </c>
      <c r="T512"/>
    </row>
    <row r="513" spans="1:20" ht="165" x14ac:dyDescent="0.25">
      <c r="A513" s="12" t="s">
        <v>3011</v>
      </c>
      <c r="B513" s="12" t="s">
        <v>194</v>
      </c>
      <c r="C513" s="12" t="s">
        <v>195</v>
      </c>
      <c r="D513" s="12" t="s">
        <v>228</v>
      </c>
      <c r="E513" s="12" t="s">
        <v>1862</v>
      </c>
      <c r="F513" s="12" t="s">
        <v>212</v>
      </c>
      <c r="G513" s="12" t="s">
        <v>3012</v>
      </c>
      <c r="H513" s="12"/>
      <c r="I513" s="12"/>
      <c r="J513" s="12" t="s">
        <v>1867</v>
      </c>
      <c r="K513" s="45">
        <v>44391</v>
      </c>
      <c r="L513" s="45">
        <v>44391</v>
      </c>
      <c r="M513" s="45">
        <v>44398</v>
      </c>
      <c r="N513" s="12" t="s">
        <v>59</v>
      </c>
      <c r="O513" s="12" t="s">
        <v>60</v>
      </c>
      <c r="P513" s="12"/>
      <c r="Q513" s="12"/>
      <c r="R513" s="12" t="s">
        <v>1894</v>
      </c>
      <c r="S513" s="12" t="s">
        <v>3002</v>
      </c>
      <c r="T513"/>
    </row>
    <row r="514" spans="1:20" ht="360" x14ac:dyDescent="0.25">
      <c r="A514" s="12" t="s">
        <v>3013</v>
      </c>
      <c r="B514" s="12" t="s">
        <v>194</v>
      </c>
      <c r="C514" s="12" t="s">
        <v>195</v>
      </c>
      <c r="D514" s="12" t="s">
        <v>224</v>
      </c>
      <c r="E514" s="12" t="s">
        <v>1862</v>
      </c>
      <c r="F514" s="12" t="s">
        <v>212</v>
      </c>
      <c r="G514" s="12" t="s">
        <v>3014</v>
      </c>
      <c r="H514" s="12"/>
      <c r="I514" s="12"/>
      <c r="J514" s="12" t="s">
        <v>1867</v>
      </c>
      <c r="K514" s="45">
        <v>44705</v>
      </c>
      <c r="L514" s="45">
        <v>44705</v>
      </c>
      <c r="M514" s="45">
        <v>44706</v>
      </c>
      <c r="N514" s="12" t="s">
        <v>59</v>
      </c>
      <c r="O514" s="12" t="s">
        <v>60</v>
      </c>
      <c r="P514" s="12"/>
      <c r="Q514" s="12"/>
      <c r="R514" s="12" t="s">
        <v>1981</v>
      </c>
      <c r="S514" s="12" t="s">
        <v>3002</v>
      </c>
      <c r="T514"/>
    </row>
    <row r="515" spans="1:20" ht="120" x14ac:dyDescent="0.25">
      <c r="A515" s="12" t="s">
        <v>3015</v>
      </c>
      <c r="B515" s="12" t="s">
        <v>194</v>
      </c>
      <c r="C515" s="12" t="s">
        <v>195</v>
      </c>
      <c r="D515" s="12" t="s">
        <v>228</v>
      </c>
      <c r="E515" s="12" t="s">
        <v>1862</v>
      </c>
      <c r="F515" s="12" t="s">
        <v>56</v>
      </c>
      <c r="G515" s="12" t="s">
        <v>3016</v>
      </c>
      <c r="H515" s="12"/>
      <c r="I515" s="12"/>
      <c r="J515" s="12" t="s">
        <v>90</v>
      </c>
      <c r="K515" s="45">
        <v>44391</v>
      </c>
      <c r="L515" s="45">
        <v>44391</v>
      </c>
      <c r="M515" s="45">
        <v>44398</v>
      </c>
      <c r="N515" s="12" t="s">
        <v>59</v>
      </c>
      <c r="O515" s="12" t="s">
        <v>60</v>
      </c>
      <c r="P515" s="12"/>
      <c r="Q515" s="12"/>
      <c r="R515" s="12" t="s">
        <v>1904</v>
      </c>
      <c r="S515" s="12" t="s">
        <v>3002</v>
      </c>
      <c r="T515"/>
    </row>
    <row r="516" spans="1:20" ht="240" x14ac:dyDescent="0.25">
      <c r="A516" s="12" t="s">
        <v>3017</v>
      </c>
      <c r="B516" s="12" t="s">
        <v>194</v>
      </c>
      <c r="C516" s="12" t="s">
        <v>195</v>
      </c>
      <c r="D516" s="12" t="s">
        <v>220</v>
      </c>
      <c r="E516" s="12" t="s">
        <v>1862</v>
      </c>
      <c r="F516" s="12" t="s">
        <v>56</v>
      </c>
      <c r="G516" s="12" t="s">
        <v>3018</v>
      </c>
      <c r="H516" s="12"/>
      <c r="I516" s="12"/>
      <c r="J516" s="12" t="s">
        <v>1381</v>
      </c>
      <c r="K516" s="45">
        <v>45099</v>
      </c>
      <c r="L516" s="45">
        <v>45099</v>
      </c>
      <c r="M516" s="45">
        <v>45105</v>
      </c>
      <c r="N516" s="12" t="s">
        <v>59</v>
      </c>
      <c r="O516" s="12" t="s">
        <v>60</v>
      </c>
      <c r="P516" s="12"/>
      <c r="Q516" s="12"/>
      <c r="R516" s="12" t="s">
        <v>1978</v>
      </c>
      <c r="S516" s="12" t="s">
        <v>3002</v>
      </c>
      <c r="T516"/>
    </row>
    <row r="517" spans="1:20" ht="409.5" x14ac:dyDescent="0.25">
      <c r="A517" s="12" t="s">
        <v>3019</v>
      </c>
      <c r="B517" s="12" t="s">
        <v>194</v>
      </c>
      <c r="C517" s="12" t="s">
        <v>195</v>
      </c>
      <c r="D517" s="12" t="s">
        <v>236</v>
      </c>
      <c r="E517" s="12" t="s">
        <v>1862</v>
      </c>
      <c r="F517" s="12" t="s">
        <v>212</v>
      </c>
      <c r="G517" s="12" t="s">
        <v>1876</v>
      </c>
      <c r="H517" s="12"/>
      <c r="I517" s="12"/>
      <c r="J517" s="12" t="s">
        <v>1867</v>
      </c>
      <c r="K517" s="45">
        <v>43563</v>
      </c>
      <c r="L517" s="45">
        <v>43563</v>
      </c>
      <c r="M517" s="45">
        <v>43581</v>
      </c>
      <c r="N517" s="12" t="s">
        <v>59</v>
      </c>
      <c r="O517" s="12" t="s">
        <v>60</v>
      </c>
      <c r="P517" s="12"/>
      <c r="Q517" s="12"/>
      <c r="R517" s="12" t="s">
        <v>1877</v>
      </c>
      <c r="S517" s="12" t="s">
        <v>3002</v>
      </c>
      <c r="T517"/>
    </row>
    <row r="518" spans="1:20" ht="300" x14ac:dyDescent="0.25">
      <c r="A518" s="12" t="s">
        <v>3020</v>
      </c>
      <c r="B518" s="12" t="s">
        <v>194</v>
      </c>
      <c r="C518" s="12" t="s">
        <v>195</v>
      </c>
      <c r="D518" s="12" t="s">
        <v>220</v>
      </c>
      <c r="E518" s="12" t="s">
        <v>1862</v>
      </c>
      <c r="F518" s="12" t="s">
        <v>56</v>
      </c>
      <c r="G518" s="12" t="s">
        <v>3021</v>
      </c>
      <c r="H518" s="12"/>
      <c r="I518" s="12"/>
      <c r="J518" s="12" t="s">
        <v>1381</v>
      </c>
      <c r="K518" s="45">
        <v>45099</v>
      </c>
      <c r="L518" s="45">
        <v>45099</v>
      </c>
      <c r="M518" s="45">
        <v>45105</v>
      </c>
      <c r="N518" s="12" t="s">
        <v>59</v>
      </c>
      <c r="O518" s="12" t="s">
        <v>60</v>
      </c>
      <c r="P518" s="12"/>
      <c r="Q518" s="12"/>
      <c r="R518" s="12" t="s">
        <v>1975</v>
      </c>
      <c r="S518" s="12" t="s">
        <v>3002</v>
      </c>
      <c r="T518"/>
    </row>
    <row r="519" spans="1:20" ht="300" x14ac:dyDescent="0.25">
      <c r="A519" s="12" t="s">
        <v>3022</v>
      </c>
      <c r="B519" s="12" t="s">
        <v>194</v>
      </c>
      <c r="C519" s="12" t="s">
        <v>195</v>
      </c>
      <c r="D519" s="12" t="s">
        <v>220</v>
      </c>
      <c r="E519" s="12" t="s">
        <v>1862</v>
      </c>
      <c r="F519" s="12" t="s">
        <v>56</v>
      </c>
      <c r="G519" s="12" t="s">
        <v>3023</v>
      </c>
      <c r="H519" s="12"/>
      <c r="I519" s="12"/>
      <c r="J519" s="12" t="s">
        <v>1381</v>
      </c>
      <c r="K519" s="45">
        <v>45099</v>
      </c>
      <c r="L519" s="45">
        <v>45099</v>
      </c>
      <c r="M519" s="45">
        <v>45105</v>
      </c>
      <c r="N519" s="12" t="s">
        <v>59</v>
      </c>
      <c r="O519" s="12" t="s">
        <v>60</v>
      </c>
      <c r="P519" s="12"/>
      <c r="Q519" s="12"/>
      <c r="R519" s="12" t="s">
        <v>1968</v>
      </c>
      <c r="S519" s="12" t="s">
        <v>3002</v>
      </c>
      <c r="T519"/>
    </row>
    <row r="520" spans="1:20" ht="315" x14ac:dyDescent="0.25">
      <c r="A520" s="12" t="s">
        <v>3024</v>
      </c>
      <c r="B520" s="12" t="s">
        <v>194</v>
      </c>
      <c r="C520" s="12" t="s">
        <v>195</v>
      </c>
      <c r="D520" s="12" t="s">
        <v>228</v>
      </c>
      <c r="E520" s="12" t="s">
        <v>1862</v>
      </c>
      <c r="F520" s="12" t="s">
        <v>212</v>
      </c>
      <c r="G520" s="12" t="s">
        <v>1866</v>
      </c>
      <c r="H520" s="12"/>
      <c r="I520" s="12"/>
      <c r="J520" s="12" t="s">
        <v>1867</v>
      </c>
      <c r="K520" s="45">
        <v>44512</v>
      </c>
      <c r="L520" s="45">
        <v>44512</v>
      </c>
      <c r="M520" s="45">
        <v>44515</v>
      </c>
      <c r="N520" s="12" t="s">
        <v>59</v>
      </c>
      <c r="O520" s="12" t="s">
        <v>60</v>
      </c>
      <c r="P520" s="12"/>
      <c r="Q520" s="12"/>
      <c r="R520" s="12" t="s">
        <v>1868</v>
      </c>
      <c r="S520" s="12" t="s">
        <v>3002</v>
      </c>
      <c r="T520"/>
    </row>
    <row r="521" spans="1:20" ht="375" x14ac:dyDescent="0.25">
      <c r="A521" s="12" t="s">
        <v>3025</v>
      </c>
      <c r="B521" s="12" t="s">
        <v>194</v>
      </c>
      <c r="C521" s="12" t="s">
        <v>195</v>
      </c>
      <c r="D521" s="12" t="s">
        <v>220</v>
      </c>
      <c r="E521" s="12" t="s">
        <v>1862</v>
      </c>
      <c r="F521" s="12" t="s">
        <v>56</v>
      </c>
      <c r="G521" s="12" t="s">
        <v>3026</v>
      </c>
      <c r="H521" s="12"/>
      <c r="I521" s="12"/>
      <c r="J521" s="12" t="s">
        <v>2021</v>
      </c>
      <c r="K521" s="45">
        <v>45236</v>
      </c>
      <c r="L521" s="45">
        <v>45230</v>
      </c>
      <c r="M521" s="45">
        <v>45236</v>
      </c>
      <c r="N521" s="12" t="s">
        <v>59</v>
      </c>
      <c r="O521" s="12" t="s">
        <v>60</v>
      </c>
      <c r="P521" s="12"/>
      <c r="Q521" s="12"/>
      <c r="R521" s="12" t="s">
        <v>1918</v>
      </c>
      <c r="S521" s="12" t="s">
        <v>3002</v>
      </c>
      <c r="T521"/>
    </row>
    <row r="522" spans="1:20" ht="315" x14ac:dyDescent="0.25">
      <c r="A522" s="12" t="s">
        <v>3027</v>
      </c>
      <c r="B522" s="12" t="s">
        <v>194</v>
      </c>
      <c r="C522" s="12" t="s">
        <v>195</v>
      </c>
      <c r="D522" s="12" t="s">
        <v>236</v>
      </c>
      <c r="E522" s="12" t="s">
        <v>1862</v>
      </c>
      <c r="F522" s="12" t="s">
        <v>56</v>
      </c>
      <c r="G522" s="12" t="s">
        <v>1866</v>
      </c>
      <c r="H522" s="12" t="s">
        <v>2580</v>
      </c>
      <c r="I522" s="12"/>
      <c r="J522" s="12" t="s">
        <v>1867</v>
      </c>
      <c r="K522" s="45">
        <v>43537</v>
      </c>
      <c r="L522" s="45">
        <v>43537</v>
      </c>
      <c r="M522" s="45">
        <v>43581</v>
      </c>
      <c r="N522" s="12" t="s">
        <v>59</v>
      </c>
      <c r="O522" s="12" t="s">
        <v>60</v>
      </c>
      <c r="P522" s="12"/>
      <c r="Q522" s="12"/>
      <c r="R522" s="12" t="s">
        <v>1868</v>
      </c>
      <c r="S522" s="12" t="s">
        <v>3002</v>
      </c>
      <c r="T522"/>
    </row>
    <row r="523" spans="1:20" ht="330" x14ac:dyDescent="0.25">
      <c r="A523" s="12" t="s">
        <v>3028</v>
      </c>
      <c r="B523" s="12" t="s">
        <v>194</v>
      </c>
      <c r="C523" s="12" t="s">
        <v>195</v>
      </c>
      <c r="D523" s="12" t="s">
        <v>252</v>
      </c>
      <c r="E523" s="12" t="s">
        <v>1862</v>
      </c>
      <c r="F523" s="12" t="s">
        <v>212</v>
      </c>
      <c r="G523" s="12" t="s">
        <v>3029</v>
      </c>
      <c r="H523" s="12"/>
      <c r="I523" s="12"/>
      <c r="J523" s="12" t="s">
        <v>2139</v>
      </c>
      <c r="K523" s="45">
        <v>45320</v>
      </c>
      <c r="L523" s="45">
        <v>45320</v>
      </c>
      <c r="M523" s="45">
        <v>45327</v>
      </c>
      <c r="N523" s="12" t="s">
        <v>59</v>
      </c>
      <c r="O523" s="12" t="s">
        <v>60</v>
      </c>
      <c r="P523" s="12"/>
      <c r="Q523" s="12"/>
      <c r="R523" s="12" t="s">
        <v>1963</v>
      </c>
      <c r="S523" s="12" t="s">
        <v>3002</v>
      </c>
      <c r="T523"/>
    </row>
    <row r="524" spans="1:20" ht="409.5" x14ac:dyDescent="0.25">
      <c r="A524" s="12" t="s">
        <v>3030</v>
      </c>
      <c r="B524" s="12" t="s">
        <v>194</v>
      </c>
      <c r="C524" s="12" t="s">
        <v>195</v>
      </c>
      <c r="D524" s="12" t="s">
        <v>55</v>
      </c>
      <c r="E524" s="12" t="s">
        <v>1862</v>
      </c>
      <c r="F524" s="12" t="s">
        <v>56</v>
      </c>
      <c r="G524" s="12" t="s">
        <v>2930</v>
      </c>
      <c r="H524" s="12"/>
      <c r="I524" s="12"/>
      <c r="J524" s="12" t="s">
        <v>1867</v>
      </c>
      <c r="K524" s="45">
        <v>43411</v>
      </c>
      <c r="L524" s="45">
        <v>43410</v>
      </c>
      <c r="M524" s="45">
        <v>43411</v>
      </c>
      <c r="N524" s="12" t="s">
        <v>59</v>
      </c>
      <c r="O524" s="12" t="s">
        <v>60</v>
      </c>
      <c r="P524" s="12"/>
      <c r="Q524" s="12"/>
      <c r="R524" s="12" t="s">
        <v>1874</v>
      </c>
      <c r="S524" s="12" t="s">
        <v>3002</v>
      </c>
      <c r="T524"/>
    </row>
    <row r="525" spans="1:20" ht="180" x14ac:dyDescent="0.25">
      <c r="A525" s="12" t="s">
        <v>3031</v>
      </c>
      <c r="B525" s="12" t="s">
        <v>194</v>
      </c>
      <c r="C525" s="12" t="s">
        <v>195</v>
      </c>
      <c r="D525" s="12" t="s">
        <v>236</v>
      </c>
      <c r="E525" s="12" t="s">
        <v>1862</v>
      </c>
      <c r="F525" s="12" t="s">
        <v>56</v>
      </c>
      <c r="G525" s="12" t="s">
        <v>2046</v>
      </c>
      <c r="H525" s="12"/>
      <c r="I525" s="12"/>
      <c r="J525" s="12" t="s">
        <v>1867</v>
      </c>
      <c r="K525" s="45">
        <v>43563</v>
      </c>
      <c r="L525" s="45">
        <v>43563</v>
      </c>
      <c r="M525" s="45">
        <v>43581</v>
      </c>
      <c r="N525" s="12" t="s">
        <v>91</v>
      </c>
      <c r="O525" s="12" t="s">
        <v>60</v>
      </c>
      <c r="P525" s="12"/>
      <c r="Q525" s="12"/>
      <c r="R525" s="12" t="s">
        <v>1929</v>
      </c>
      <c r="S525" s="12" t="s">
        <v>3002</v>
      </c>
      <c r="T525"/>
    </row>
    <row r="526" spans="1:20" ht="315" x14ac:dyDescent="0.25">
      <c r="A526" s="12" t="s">
        <v>3032</v>
      </c>
      <c r="B526" s="12" t="s">
        <v>194</v>
      </c>
      <c r="C526" s="12" t="s">
        <v>195</v>
      </c>
      <c r="D526" s="12" t="s">
        <v>252</v>
      </c>
      <c r="E526" s="12" t="s">
        <v>1883</v>
      </c>
      <c r="F526" s="12" t="s">
        <v>56</v>
      </c>
      <c r="G526" s="12" t="s">
        <v>3033</v>
      </c>
      <c r="H526" s="12" t="s">
        <v>2580</v>
      </c>
      <c r="I526" s="12"/>
      <c r="J526" s="12" t="s">
        <v>915</v>
      </c>
      <c r="K526" s="45">
        <v>45566</v>
      </c>
      <c r="L526" s="45">
        <v>45425</v>
      </c>
      <c r="M526" s="45">
        <v>45429</v>
      </c>
      <c r="N526" s="12" t="s">
        <v>59</v>
      </c>
      <c r="O526" s="12" t="s">
        <v>60</v>
      </c>
      <c r="P526" s="12"/>
      <c r="Q526" s="12"/>
      <c r="R526" s="12" t="s">
        <v>1932</v>
      </c>
      <c r="S526" s="12" t="s">
        <v>3002</v>
      </c>
      <c r="T526"/>
    </row>
    <row r="527" spans="1:20" ht="409.5" x14ac:dyDescent="0.25">
      <c r="A527" s="12" t="s">
        <v>3034</v>
      </c>
      <c r="B527" s="12" t="s">
        <v>194</v>
      </c>
      <c r="C527" s="12" t="s">
        <v>195</v>
      </c>
      <c r="D527" s="12" t="s">
        <v>55</v>
      </c>
      <c r="E527" s="12" t="s">
        <v>1862</v>
      </c>
      <c r="F527" s="12" t="s">
        <v>56</v>
      </c>
      <c r="G527" s="12" t="s">
        <v>1870</v>
      </c>
      <c r="H527" s="12"/>
      <c r="I527" s="12"/>
      <c r="J527" s="12" t="s">
        <v>1867</v>
      </c>
      <c r="K527" s="45">
        <v>43194</v>
      </c>
      <c r="L527" s="45">
        <v>43194</v>
      </c>
      <c r="M527" s="45">
        <v>43200</v>
      </c>
      <c r="N527" s="12" t="s">
        <v>91</v>
      </c>
      <c r="O527" s="12" t="s">
        <v>60</v>
      </c>
      <c r="P527" s="12"/>
      <c r="Q527" s="12"/>
      <c r="R527" s="12" t="s">
        <v>1871</v>
      </c>
      <c r="S527" s="12" t="s">
        <v>3002</v>
      </c>
      <c r="T527"/>
    </row>
    <row r="528" spans="1:20" ht="390" x14ac:dyDescent="0.25">
      <c r="A528" s="12" t="s">
        <v>3035</v>
      </c>
      <c r="B528" s="12" t="s">
        <v>194</v>
      </c>
      <c r="C528" s="12" t="s">
        <v>195</v>
      </c>
      <c r="D528" s="12" t="s">
        <v>252</v>
      </c>
      <c r="E528" s="12" t="s">
        <v>1883</v>
      </c>
      <c r="F528" s="12" t="s">
        <v>56</v>
      </c>
      <c r="G528" s="12" t="s">
        <v>3036</v>
      </c>
      <c r="H528" s="12" t="s">
        <v>1941</v>
      </c>
      <c r="I528" s="12"/>
      <c r="J528" s="12" t="s">
        <v>2272</v>
      </c>
      <c r="K528" s="45">
        <v>45657</v>
      </c>
      <c r="L528" s="45">
        <v>45579</v>
      </c>
      <c r="M528" s="45">
        <v>45582</v>
      </c>
      <c r="N528" s="12" t="s">
        <v>59</v>
      </c>
      <c r="O528" s="12" t="s">
        <v>60</v>
      </c>
      <c r="P528" s="12"/>
      <c r="Q528" s="12"/>
      <c r="R528" s="12" t="s">
        <v>1942</v>
      </c>
      <c r="S528" s="12" t="s">
        <v>3002</v>
      </c>
      <c r="T528"/>
    </row>
    <row r="529" spans="1:20" ht="195" x14ac:dyDescent="0.25">
      <c r="A529" s="12" t="s">
        <v>3037</v>
      </c>
      <c r="B529" s="12" t="s">
        <v>194</v>
      </c>
      <c r="C529" s="12" t="s">
        <v>195</v>
      </c>
      <c r="D529" s="12" t="s">
        <v>126</v>
      </c>
      <c r="E529" s="12" t="s">
        <v>1862</v>
      </c>
      <c r="F529" s="12" t="s">
        <v>56</v>
      </c>
      <c r="G529" s="12" t="s">
        <v>1879</v>
      </c>
      <c r="H529" s="12"/>
      <c r="I529" s="12"/>
      <c r="J529" s="12" t="s">
        <v>1867</v>
      </c>
      <c r="K529" s="45">
        <v>42524</v>
      </c>
      <c r="L529" s="45">
        <v>42524</v>
      </c>
      <c r="M529" s="45">
        <v>42608</v>
      </c>
      <c r="N529" s="12" t="s">
        <v>91</v>
      </c>
      <c r="O529" s="12" t="s">
        <v>60</v>
      </c>
      <c r="P529" s="12"/>
      <c r="Q529" s="12"/>
      <c r="R529" s="12" t="s">
        <v>1881</v>
      </c>
      <c r="S529" s="12" t="s">
        <v>3002</v>
      </c>
      <c r="T529"/>
    </row>
    <row r="530" spans="1:20" ht="375" x14ac:dyDescent="0.25">
      <c r="A530" s="12" t="s">
        <v>3038</v>
      </c>
      <c r="B530" s="12" t="s">
        <v>194</v>
      </c>
      <c r="C530" s="12" t="s">
        <v>195</v>
      </c>
      <c r="D530" s="12" t="s">
        <v>252</v>
      </c>
      <c r="E530" s="12" t="s">
        <v>1862</v>
      </c>
      <c r="F530" s="12" t="s">
        <v>56</v>
      </c>
      <c r="G530" s="12" t="s">
        <v>3039</v>
      </c>
      <c r="H530" s="12"/>
      <c r="I530" s="12"/>
      <c r="J530" s="12" t="s">
        <v>915</v>
      </c>
      <c r="K530" s="45">
        <v>45337</v>
      </c>
      <c r="L530" s="45">
        <v>45337</v>
      </c>
      <c r="M530" s="45">
        <v>45341</v>
      </c>
      <c r="N530" s="12" t="s">
        <v>59</v>
      </c>
      <c r="O530" s="12" t="s">
        <v>60</v>
      </c>
      <c r="P530" s="12"/>
      <c r="Q530" s="12"/>
      <c r="R530" s="12" t="s">
        <v>1886</v>
      </c>
      <c r="S530" s="12" t="s">
        <v>3002</v>
      </c>
      <c r="T530"/>
    </row>
    <row r="531" spans="1:20" ht="405" x14ac:dyDescent="0.25">
      <c r="A531" s="12" t="s">
        <v>3040</v>
      </c>
      <c r="B531" s="12" t="s">
        <v>194</v>
      </c>
      <c r="C531" s="12" t="s">
        <v>195</v>
      </c>
      <c r="D531" s="12" t="s">
        <v>252</v>
      </c>
      <c r="E531" s="12" t="s">
        <v>1862</v>
      </c>
      <c r="F531" s="12" t="s">
        <v>212</v>
      </c>
      <c r="G531" s="12" t="s">
        <v>3041</v>
      </c>
      <c r="H531" s="12"/>
      <c r="I531" s="12"/>
      <c r="J531" s="12" t="s">
        <v>2272</v>
      </c>
      <c r="K531" s="45">
        <v>45565</v>
      </c>
      <c r="L531" s="45">
        <v>45565</v>
      </c>
      <c r="M531" s="45">
        <v>45567</v>
      </c>
      <c r="N531" s="12" t="s">
        <v>59</v>
      </c>
      <c r="O531" s="12" t="s">
        <v>60</v>
      </c>
      <c r="P531" s="12"/>
      <c r="Q531" s="12"/>
      <c r="R531" s="12" t="s">
        <v>1886</v>
      </c>
      <c r="S531" s="12" t="s">
        <v>3002</v>
      </c>
      <c r="T531"/>
    </row>
    <row r="532" spans="1:20" ht="180" x14ac:dyDescent="0.25">
      <c r="A532" s="12" t="s">
        <v>3042</v>
      </c>
      <c r="B532" s="12" t="s">
        <v>194</v>
      </c>
      <c r="C532" s="12" t="s">
        <v>195</v>
      </c>
      <c r="D532" s="12" t="s">
        <v>126</v>
      </c>
      <c r="E532" s="12" t="s">
        <v>1862</v>
      </c>
      <c r="F532" s="12" t="s">
        <v>56</v>
      </c>
      <c r="G532" s="12" t="s">
        <v>1863</v>
      </c>
      <c r="H532" s="12"/>
      <c r="I532" s="12"/>
      <c r="J532" s="12" t="s">
        <v>90</v>
      </c>
      <c r="K532" s="45">
        <v>42641</v>
      </c>
      <c r="L532" s="45">
        <v>42641</v>
      </c>
      <c r="M532" s="45">
        <v>42674</v>
      </c>
      <c r="N532" s="12" t="s">
        <v>91</v>
      </c>
      <c r="O532" s="12" t="s">
        <v>60</v>
      </c>
      <c r="P532" s="12"/>
      <c r="Q532" s="12"/>
      <c r="R532" s="12" t="s">
        <v>1864</v>
      </c>
      <c r="S532" s="12" t="s">
        <v>3002</v>
      </c>
      <c r="T532"/>
    </row>
    <row r="533" spans="1:20" ht="360" x14ac:dyDescent="0.25">
      <c r="A533" s="12" t="s">
        <v>3043</v>
      </c>
      <c r="B533" s="12" t="s">
        <v>197</v>
      </c>
      <c r="C533" s="12" t="s">
        <v>198</v>
      </c>
      <c r="D533" s="12" t="s">
        <v>126</v>
      </c>
      <c r="E533" s="12" t="s">
        <v>1862</v>
      </c>
      <c r="F533" s="12" t="s">
        <v>56</v>
      </c>
      <c r="G533" s="12" t="s">
        <v>3044</v>
      </c>
      <c r="H533" s="12"/>
      <c r="I533" s="12"/>
      <c r="J533" s="12"/>
      <c r="K533" s="45">
        <v>42727</v>
      </c>
      <c r="L533" s="45">
        <v>42727</v>
      </c>
      <c r="M533" s="45">
        <v>42732</v>
      </c>
      <c r="N533" s="12" t="s">
        <v>91</v>
      </c>
      <c r="O533" s="12" t="s">
        <v>60</v>
      </c>
      <c r="P533" s="12"/>
      <c r="Q533" s="12"/>
      <c r="R533" s="12" t="s">
        <v>2678</v>
      </c>
      <c r="S533" s="12" t="s">
        <v>3045</v>
      </c>
      <c r="T533"/>
    </row>
    <row r="534" spans="1:20" ht="409.5" x14ac:dyDescent="0.25">
      <c r="A534" s="12" t="s">
        <v>3046</v>
      </c>
      <c r="B534" s="12" t="s">
        <v>197</v>
      </c>
      <c r="C534" s="12" t="s">
        <v>198</v>
      </c>
      <c r="D534" s="12" t="s">
        <v>228</v>
      </c>
      <c r="E534" s="12" t="s">
        <v>1883</v>
      </c>
      <c r="F534" s="12" t="s">
        <v>212</v>
      </c>
      <c r="G534" s="12" t="s">
        <v>3047</v>
      </c>
      <c r="H534" s="12"/>
      <c r="I534" s="12"/>
      <c r="J534" s="12"/>
      <c r="K534" s="45">
        <v>44469</v>
      </c>
      <c r="L534" s="45">
        <v>44368</v>
      </c>
      <c r="M534" s="45">
        <v>44391</v>
      </c>
      <c r="N534" s="12" t="s">
        <v>59</v>
      </c>
      <c r="O534" s="12" t="s">
        <v>60</v>
      </c>
      <c r="P534" s="12"/>
      <c r="Q534" s="12"/>
      <c r="R534" s="12" t="s">
        <v>1922</v>
      </c>
      <c r="S534" s="12"/>
      <c r="T534"/>
    </row>
    <row r="535" spans="1:20" ht="180" x14ac:dyDescent="0.25">
      <c r="A535" s="12" t="s">
        <v>3048</v>
      </c>
      <c r="B535" s="12" t="s">
        <v>197</v>
      </c>
      <c r="C535" s="12" t="s">
        <v>198</v>
      </c>
      <c r="D535" s="12" t="s">
        <v>67</v>
      </c>
      <c r="E535" s="12" t="s">
        <v>1883</v>
      </c>
      <c r="F535" s="12" t="s">
        <v>56</v>
      </c>
      <c r="G535" s="12" t="s">
        <v>2141</v>
      </c>
      <c r="H535" s="12"/>
      <c r="I535" s="12"/>
      <c r="J535" s="12"/>
      <c r="K535" s="45">
        <v>41852</v>
      </c>
      <c r="L535" s="45"/>
      <c r="M535" s="45">
        <v>41640</v>
      </c>
      <c r="N535" s="12" t="s">
        <v>91</v>
      </c>
      <c r="O535" s="12" t="s">
        <v>60</v>
      </c>
      <c r="P535" s="12"/>
      <c r="Q535" s="12"/>
      <c r="R535" s="12" t="s">
        <v>2142</v>
      </c>
      <c r="S535" s="12" t="s">
        <v>1366</v>
      </c>
      <c r="T535"/>
    </row>
    <row r="536" spans="1:20" ht="105" x14ac:dyDescent="0.25">
      <c r="A536" s="12" t="s">
        <v>3049</v>
      </c>
      <c r="B536" s="12" t="s">
        <v>197</v>
      </c>
      <c r="C536" s="12" t="s">
        <v>198</v>
      </c>
      <c r="D536" s="12" t="s">
        <v>126</v>
      </c>
      <c r="E536" s="12" t="s">
        <v>1883</v>
      </c>
      <c r="F536" s="12" t="s">
        <v>56</v>
      </c>
      <c r="G536" s="12" t="s">
        <v>2210</v>
      </c>
      <c r="H536" s="12" t="s">
        <v>2154</v>
      </c>
      <c r="I536" s="12"/>
      <c r="J536" s="12"/>
      <c r="K536" s="45">
        <v>42727</v>
      </c>
      <c r="L536" s="45">
        <v>42727</v>
      </c>
      <c r="M536" s="45">
        <v>42732</v>
      </c>
      <c r="N536" s="12" t="s">
        <v>91</v>
      </c>
      <c r="O536" s="12" t="s">
        <v>60</v>
      </c>
      <c r="P536" s="12"/>
      <c r="Q536" s="12"/>
      <c r="R536" s="12" t="s">
        <v>1864</v>
      </c>
      <c r="S536" s="12" t="s">
        <v>3045</v>
      </c>
      <c r="T536"/>
    </row>
    <row r="537" spans="1:20" ht="165" x14ac:dyDescent="0.25">
      <c r="A537" s="12" t="s">
        <v>3050</v>
      </c>
      <c r="B537" s="12" t="s">
        <v>197</v>
      </c>
      <c r="C537" s="12" t="s">
        <v>198</v>
      </c>
      <c r="D537" s="12" t="s">
        <v>55</v>
      </c>
      <c r="E537" s="12" t="s">
        <v>1883</v>
      </c>
      <c r="F537" s="12" t="s">
        <v>56</v>
      </c>
      <c r="G537" s="12" t="s">
        <v>1934</v>
      </c>
      <c r="H537" s="12" t="s">
        <v>1935</v>
      </c>
      <c r="I537" s="12"/>
      <c r="J537" s="12" t="s">
        <v>1880</v>
      </c>
      <c r="K537" s="45">
        <v>43101</v>
      </c>
      <c r="L537" s="45">
        <v>43091</v>
      </c>
      <c r="M537" s="45">
        <v>43144</v>
      </c>
      <c r="N537" s="12" t="s">
        <v>91</v>
      </c>
      <c r="O537" s="12" t="s">
        <v>60</v>
      </c>
      <c r="P537" s="12"/>
      <c r="Q537" s="12"/>
      <c r="R537" s="12" t="s">
        <v>1871</v>
      </c>
      <c r="S537" s="12" t="s">
        <v>3051</v>
      </c>
      <c r="T537"/>
    </row>
    <row r="538" spans="1:20" ht="375" x14ac:dyDescent="0.25">
      <c r="A538" s="12" t="s">
        <v>3052</v>
      </c>
      <c r="B538" s="12" t="s">
        <v>197</v>
      </c>
      <c r="C538" s="12" t="s">
        <v>198</v>
      </c>
      <c r="D538" s="12" t="s">
        <v>252</v>
      </c>
      <c r="E538" s="12" t="s">
        <v>1862</v>
      </c>
      <c r="F538" s="12" t="s">
        <v>56</v>
      </c>
      <c r="G538" s="12" t="s">
        <v>3053</v>
      </c>
      <c r="H538" s="12"/>
      <c r="I538" s="12"/>
      <c r="J538" s="12" t="s">
        <v>915</v>
      </c>
      <c r="K538" s="45">
        <v>45460</v>
      </c>
      <c r="L538" s="45">
        <v>45460</v>
      </c>
      <c r="M538" s="45">
        <v>45504</v>
      </c>
      <c r="N538" s="12" t="s">
        <v>59</v>
      </c>
      <c r="O538" s="12" t="s">
        <v>60</v>
      </c>
      <c r="P538" s="12"/>
      <c r="Q538" s="12"/>
      <c r="R538" s="12" t="s">
        <v>1942</v>
      </c>
      <c r="S538" s="12"/>
      <c r="T538"/>
    </row>
    <row r="539" spans="1:20" ht="409.5" x14ac:dyDescent="0.25">
      <c r="A539" s="12" t="s">
        <v>3054</v>
      </c>
      <c r="B539" s="12" t="s">
        <v>197</v>
      </c>
      <c r="C539" s="12" t="s">
        <v>198</v>
      </c>
      <c r="D539" s="12" t="s">
        <v>252</v>
      </c>
      <c r="E539" s="12" t="s">
        <v>1862</v>
      </c>
      <c r="F539" s="12" t="s">
        <v>56</v>
      </c>
      <c r="G539" s="12" t="s">
        <v>3055</v>
      </c>
      <c r="H539" s="12"/>
      <c r="I539" s="12"/>
      <c r="J539" s="12" t="s">
        <v>915</v>
      </c>
      <c r="K539" s="45">
        <v>45460</v>
      </c>
      <c r="L539" s="45">
        <v>45460</v>
      </c>
      <c r="M539" s="45">
        <v>45504</v>
      </c>
      <c r="N539" s="12" t="s">
        <v>59</v>
      </c>
      <c r="O539" s="12" t="s">
        <v>60</v>
      </c>
      <c r="P539" s="12"/>
      <c r="Q539" s="12"/>
      <c r="R539" s="12" t="s">
        <v>1953</v>
      </c>
      <c r="S539" s="12"/>
      <c r="T539"/>
    </row>
    <row r="540" spans="1:20" ht="409.5" x14ac:dyDescent="0.25">
      <c r="A540" s="12" t="s">
        <v>3056</v>
      </c>
      <c r="B540" s="12" t="s">
        <v>197</v>
      </c>
      <c r="C540" s="12" t="s">
        <v>198</v>
      </c>
      <c r="D540" s="12" t="s">
        <v>252</v>
      </c>
      <c r="E540" s="12" t="s">
        <v>1862</v>
      </c>
      <c r="F540" s="12" t="s">
        <v>56</v>
      </c>
      <c r="G540" s="12" t="s">
        <v>3057</v>
      </c>
      <c r="H540" s="12"/>
      <c r="I540" s="12"/>
      <c r="J540" s="12" t="s">
        <v>915</v>
      </c>
      <c r="K540" s="45">
        <v>45460</v>
      </c>
      <c r="L540" s="45">
        <v>45460</v>
      </c>
      <c r="M540" s="45">
        <v>45504</v>
      </c>
      <c r="N540" s="12" t="s">
        <v>59</v>
      </c>
      <c r="O540" s="12" t="s">
        <v>60</v>
      </c>
      <c r="P540" s="12"/>
      <c r="Q540" s="12"/>
      <c r="R540" s="12" t="s">
        <v>1932</v>
      </c>
      <c r="S540" s="12"/>
      <c r="T540"/>
    </row>
    <row r="541" spans="1:20" ht="409.5" x14ac:dyDescent="0.25">
      <c r="A541" s="12" t="s">
        <v>3058</v>
      </c>
      <c r="B541" s="12" t="s">
        <v>197</v>
      </c>
      <c r="C541" s="12" t="s">
        <v>198</v>
      </c>
      <c r="D541" s="12" t="s">
        <v>236</v>
      </c>
      <c r="E541" s="12" t="s">
        <v>1862</v>
      </c>
      <c r="F541" s="12" t="s">
        <v>56</v>
      </c>
      <c r="G541" s="12" t="s">
        <v>3059</v>
      </c>
      <c r="H541" s="12"/>
      <c r="I541" s="12"/>
      <c r="J541" s="12" t="s">
        <v>1867</v>
      </c>
      <c r="K541" s="45">
        <v>43654</v>
      </c>
      <c r="L541" s="45">
        <v>43654</v>
      </c>
      <c r="M541" s="45">
        <v>43654</v>
      </c>
      <c r="N541" s="12" t="s">
        <v>59</v>
      </c>
      <c r="O541" s="12" t="s">
        <v>60</v>
      </c>
      <c r="P541" s="12"/>
      <c r="Q541" s="12"/>
      <c r="R541" s="12" t="s">
        <v>1874</v>
      </c>
      <c r="S541" s="12"/>
      <c r="T541"/>
    </row>
    <row r="542" spans="1:20" ht="409.5" x14ac:dyDescent="0.25">
      <c r="A542" s="12" t="s">
        <v>3060</v>
      </c>
      <c r="B542" s="12" t="s">
        <v>197</v>
      </c>
      <c r="C542" s="12" t="s">
        <v>198</v>
      </c>
      <c r="D542" s="12" t="s">
        <v>236</v>
      </c>
      <c r="E542" s="12" t="s">
        <v>1883</v>
      </c>
      <c r="F542" s="12" t="s">
        <v>56</v>
      </c>
      <c r="G542" s="12" t="s">
        <v>3061</v>
      </c>
      <c r="H542" s="12" t="s">
        <v>3062</v>
      </c>
      <c r="I542" s="12"/>
      <c r="J542" s="12" t="s">
        <v>1867</v>
      </c>
      <c r="K542" s="45">
        <v>43654</v>
      </c>
      <c r="L542" s="45">
        <v>43654</v>
      </c>
      <c r="M542" s="45">
        <v>43654</v>
      </c>
      <c r="N542" s="12" t="s">
        <v>59</v>
      </c>
      <c r="O542" s="12" t="s">
        <v>60</v>
      </c>
      <c r="P542" s="12"/>
      <c r="Q542" s="12"/>
      <c r="R542" s="12" t="s">
        <v>1868</v>
      </c>
      <c r="S542" s="12"/>
      <c r="T542"/>
    </row>
    <row r="543" spans="1:20" ht="409.5" x14ac:dyDescent="0.25">
      <c r="A543" s="12" t="s">
        <v>3063</v>
      </c>
      <c r="B543" s="12" t="s">
        <v>197</v>
      </c>
      <c r="C543" s="12" t="s">
        <v>198</v>
      </c>
      <c r="D543" s="12" t="s">
        <v>224</v>
      </c>
      <c r="E543" s="12" t="s">
        <v>1883</v>
      </c>
      <c r="F543" s="12" t="s">
        <v>56</v>
      </c>
      <c r="G543" s="12" t="s">
        <v>3064</v>
      </c>
      <c r="H543" s="12"/>
      <c r="I543" s="12"/>
      <c r="J543" s="12" t="s">
        <v>90</v>
      </c>
      <c r="K543" s="45">
        <v>44743</v>
      </c>
      <c r="L543" s="45">
        <v>44741</v>
      </c>
      <c r="M543" s="45">
        <v>44741</v>
      </c>
      <c r="N543" s="12" t="s">
        <v>59</v>
      </c>
      <c r="O543" s="12" t="s">
        <v>60</v>
      </c>
      <c r="P543" s="12"/>
      <c r="Q543" s="12"/>
      <c r="R543" s="12" t="s">
        <v>1900</v>
      </c>
      <c r="S543" s="12"/>
      <c r="T543"/>
    </row>
    <row r="544" spans="1:20" ht="165" x14ac:dyDescent="0.25">
      <c r="A544" s="12" t="s">
        <v>3065</v>
      </c>
      <c r="B544" s="12" t="s">
        <v>197</v>
      </c>
      <c r="C544" s="12" t="s">
        <v>198</v>
      </c>
      <c r="D544" s="12" t="s">
        <v>220</v>
      </c>
      <c r="E544" s="12" t="s">
        <v>1883</v>
      </c>
      <c r="F544" s="12" t="s">
        <v>56</v>
      </c>
      <c r="G544" s="12" t="s">
        <v>3066</v>
      </c>
      <c r="H544" s="12"/>
      <c r="I544" s="12"/>
      <c r="J544" s="12" t="s">
        <v>90</v>
      </c>
      <c r="K544" s="45">
        <v>45016</v>
      </c>
      <c r="L544" s="45">
        <v>45013</v>
      </c>
      <c r="M544" s="45">
        <v>45022</v>
      </c>
      <c r="N544" s="12" t="s">
        <v>59</v>
      </c>
      <c r="O544" s="12" t="s">
        <v>60</v>
      </c>
      <c r="P544" s="12"/>
      <c r="Q544" s="12"/>
      <c r="R544" s="12" t="s">
        <v>1968</v>
      </c>
      <c r="S544" s="12" t="s">
        <v>3067</v>
      </c>
      <c r="T544"/>
    </row>
    <row r="545" spans="1:20" ht="165" x14ac:dyDescent="0.25">
      <c r="A545" s="12" t="s">
        <v>3068</v>
      </c>
      <c r="B545" s="12" t="s">
        <v>197</v>
      </c>
      <c r="C545" s="12" t="s">
        <v>198</v>
      </c>
      <c r="D545" s="12" t="s">
        <v>220</v>
      </c>
      <c r="E545" s="12" t="s">
        <v>1883</v>
      </c>
      <c r="F545" s="12" t="s">
        <v>56</v>
      </c>
      <c r="G545" s="12" t="s">
        <v>3069</v>
      </c>
      <c r="H545" s="12"/>
      <c r="I545" s="12"/>
      <c r="J545" s="12" t="s">
        <v>90</v>
      </c>
      <c r="K545" s="45">
        <v>45016</v>
      </c>
      <c r="L545" s="45">
        <v>45013</v>
      </c>
      <c r="M545" s="45">
        <v>45022</v>
      </c>
      <c r="N545" s="12" t="s">
        <v>59</v>
      </c>
      <c r="O545" s="12" t="s">
        <v>60</v>
      </c>
      <c r="P545" s="12"/>
      <c r="Q545" s="12"/>
      <c r="R545" s="12" t="s">
        <v>1975</v>
      </c>
      <c r="S545" s="12" t="s">
        <v>3067</v>
      </c>
      <c r="T545"/>
    </row>
    <row r="546" spans="1:20" ht="90" x14ac:dyDescent="0.25">
      <c r="A546" s="12" t="s">
        <v>3070</v>
      </c>
      <c r="B546" s="12" t="s">
        <v>197</v>
      </c>
      <c r="C546" s="12" t="s">
        <v>198</v>
      </c>
      <c r="D546" s="12" t="s">
        <v>220</v>
      </c>
      <c r="E546" s="12" t="s">
        <v>1883</v>
      </c>
      <c r="F546" s="12" t="s">
        <v>212</v>
      </c>
      <c r="G546" s="12" t="s">
        <v>3071</v>
      </c>
      <c r="H546" s="12" t="s">
        <v>2138</v>
      </c>
      <c r="I546" s="12"/>
      <c r="J546" s="12" t="s">
        <v>2139</v>
      </c>
      <c r="K546" s="45">
        <v>45107</v>
      </c>
      <c r="L546" s="45">
        <v>45078</v>
      </c>
      <c r="M546" s="45">
        <v>45084</v>
      </c>
      <c r="N546" s="12" t="s">
        <v>59</v>
      </c>
      <c r="O546" s="12" t="s">
        <v>60</v>
      </c>
      <c r="P546" s="12"/>
      <c r="Q546" s="12"/>
      <c r="R546" s="12" t="s">
        <v>1978</v>
      </c>
      <c r="S546" s="12"/>
      <c r="T546"/>
    </row>
    <row r="547" spans="1:20" ht="330" x14ac:dyDescent="0.25">
      <c r="A547" s="12" t="s">
        <v>3072</v>
      </c>
      <c r="B547" s="12" t="s">
        <v>197</v>
      </c>
      <c r="C547" s="12" t="s">
        <v>198</v>
      </c>
      <c r="D547" s="12" t="s">
        <v>224</v>
      </c>
      <c r="E547" s="12" t="s">
        <v>1862</v>
      </c>
      <c r="F547" s="12" t="s">
        <v>212</v>
      </c>
      <c r="G547" s="12" t="s">
        <v>3073</v>
      </c>
      <c r="H547" s="12"/>
      <c r="I547" s="12"/>
      <c r="J547" s="12" t="s">
        <v>1381</v>
      </c>
      <c r="K547" s="45">
        <v>44741</v>
      </c>
      <c r="L547" s="45">
        <v>44741</v>
      </c>
      <c r="M547" s="45">
        <v>44749</v>
      </c>
      <c r="N547" s="12" t="s">
        <v>59</v>
      </c>
      <c r="O547" s="12" t="s">
        <v>60</v>
      </c>
      <c r="P547" s="12"/>
      <c r="Q547" s="12"/>
      <c r="R547" s="12"/>
      <c r="S547" s="12"/>
      <c r="T547"/>
    </row>
    <row r="548" spans="1:20" ht="45" x14ac:dyDescent="0.25">
      <c r="A548" s="12" t="s">
        <v>3074</v>
      </c>
      <c r="B548" s="12" t="s">
        <v>197</v>
      </c>
      <c r="C548" s="12" t="s">
        <v>198</v>
      </c>
      <c r="D548" s="12"/>
      <c r="E548" s="12" t="s">
        <v>1862</v>
      </c>
      <c r="F548" s="12" t="s">
        <v>56</v>
      </c>
      <c r="G548" s="12"/>
      <c r="H548" s="12"/>
      <c r="I548" s="12"/>
      <c r="J548" s="12" t="s">
        <v>1885</v>
      </c>
      <c r="K548" s="45">
        <v>45681</v>
      </c>
      <c r="L548" s="45">
        <v>45671</v>
      </c>
      <c r="M548" s="45">
        <v>45681</v>
      </c>
      <c r="N548" s="12" t="s">
        <v>59</v>
      </c>
      <c r="O548" s="12" t="s">
        <v>60</v>
      </c>
      <c r="P548" s="12"/>
      <c r="Q548" s="12"/>
      <c r="R548" s="12" t="s">
        <v>1986</v>
      </c>
      <c r="S548" s="12"/>
      <c r="T548"/>
    </row>
    <row r="549" spans="1:20" ht="270" x14ac:dyDescent="0.25">
      <c r="A549" s="12" t="s">
        <v>3075</v>
      </c>
      <c r="B549" s="12" t="s">
        <v>197</v>
      </c>
      <c r="C549" s="12" t="s">
        <v>198</v>
      </c>
      <c r="D549" s="12" t="s">
        <v>228</v>
      </c>
      <c r="E549" s="12" t="s">
        <v>1862</v>
      </c>
      <c r="F549" s="12" t="s">
        <v>56</v>
      </c>
      <c r="G549" s="12" t="s">
        <v>3076</v>
      </c>
      <c r="H549" s="12"/>
      <c r="I549" s="12"/>
      <c r="J549" s="12"/>
      <c r="K549" s="45">
        <v>44467</v>
      </c>
      <c r="L549" s="45">
        <v>44467</v>
      </c>
      <c r="M549" s="45">
        <v>45379</v>
      </c>
      <c r="N549" s="12" t="s">
        <v>59</v>
      </c>
      <c r="O549" s="12" t="s">
        <v>60</v>
      </c>
      <c r="P549" s="12"/>
      <c r="Q549" s="12"/>
      <c r="R549" s="12" t="s">
        <v>1904</v>
      </c>
      <c r="S549" s="12"/>
      <c r="T549"/>
    </row>
    <row r="550" spans="1:20" ht="409.5" x14ac:dyDescent="0.25">
      <c r="A550" s="12" t="s">
        <v>3077</v>
      </c>
      <c r="B550" s="12" t="s">
        <v>197</v>
      </c>
      <c r="C550" s="12" t="s">
        <v>198</v>
      </c>
      <c r="D550" s="12" t="s">
        <v>228</v>
      </c>
      <c r="E550" s="12" t="s">
        <v>1883</v>
      </c>
      <c r="F550" s="12" t="s">
        <v>212</v>
      </c>
      <c r="G550" s="12" t="s">
        <v>3078</v>
      </c>
      <c r="H550" s="12"/>
      <c r="I550" s="12"/>
      <c r="J550" s="12"/>
      <c r="K550" s="45">
        <v>44469</v>
      </c>
      <c r="L550" s="45">
        <v>44368</v>
      </c>
      <c r="M550" s="45">
        <v>44391</v>
      </c>
      <c r="N550" s="12" t="s">
        <v>59</v>
      </c>
      <c r="O550" s="12" t="s">
        <v>60</v>
      </c>
      <c r="P550" s="12"/>
      <c r="Q550" s="12"/>
      <c r="R550" s="12" t="s">
        <v>1894</v>
      </c>
      <c r="S550" s="12"/>
      <c r="T550"/>
    </row>
    <row r="551" spans="1:20" ht="255" x14ac:dyDescent="0.25">
      <c r="A551" s="12" t="s">
        <v>3079</v>
      </c>
      <c r="B551" s="12" t="s">
        <v>197</v>
      </c>
      <c r="C551" s="12" t="s">
        <v>198</v>
      </c>
      <c r="D551" s="12" t="s">
        <v>224</v>
      </c>
      <c r="E551" s="12" t="s">
        <v>1862</v>
      </c>
      <c r="F551" s="12" t="s">
        <v>212</v>
      </c>
      <c r="G551" s="12" t="s">
        <v>3080</v>
      </c>
      <c r="H551" s="12"/>
      <c r="I551" s="12"/>
      <c r="J551" s="12" t="s">
        <v>1381</v>
      </c>
      <c r="K551" s="45">
        <v>44741</v>
      </c>
      <c r="L551" s="45">
        <v>44741</v>
      </c>
      <c r="M551" s="45">
        <v>44749</v>
      </c>
      <c r="N551" s="12" t="s">
        <v>59</v>
      </c>
      <c r="O551" s="12" t="s">
        <v>60</v>
      </c>
      <c r="P551" s="12"/>
      <c r="Q551" s="12"/>
      <c r="R551" s="12" t="s">
        <v>1986</v>
      </c>
      <c r="S551" s="12"/>
      <c r="T551"/>
    </row>
    <row r="552" spans="1:20" ht="165" x14ac:dyDescent="0.25">
      <c r="A552" s="12" t="s">
        <v>3081</v>
      </c>
      <c r="B552" s="12" t="s">
        <v>197</v>
      </c>
      <c r="C552" s="12" t="s">
        <v>198</v>
      </c>
      <c r="D552" s="12" t="s">
        <v>224</v>
      </c>
      <c r="E552" s="12" t="s">
        <v>1883</v>
      </c>
      <c r="F552" s="12" t="s">
        <v>56</v>
      </c>
      <c r="G552" s="12" t="s">
        <v>3082</v>
      </c>
      <c r="H552" s="12"/>
      <c r="I552" s="12"/>
      <c r="J552" s="12" t="s">
        <v>90</v>
      </c>
      <c r="K552" s="45">
        <v>44864</v>
      </c>
      <c r="L552" s="45">
        <v>44862</v>
      </c>
      <c r="M552" s="45">
        <v>44881</v>
      </c>
      <c r="N552" s="12" t="s">
        <v>59</v>
      </c>
      <c r="O552" s="12" t="s">
        <v>60</v>
      </c>
      <c r="P552" s="12"/>
      <c r="Q552" s="12"/>
      <c r="R552" s="12" t="s">
        <v>1938</v>
      </c>
      <c r="S552" s="12"/>
      <c r="T552"/>
    </row>
    <row r="553" spans="1:20" ht="240" x14ac:dyDescent="0.25">
      <c r="A553" s="12" t="s">
        <v>3083</v>
      </c>
      <c r="B553" s="12" t="s">
        <v>197</v>
      </c>
      <c r="C553" s="12" t="s">
        <v>198</v>
      </c>
      <c r="D553" s="12" t="s">
        <v>224</v>
      </c>
      <c r="E553" s="12" t="s">
        <v>1862</v>
      </c>
      <c r="F553" s="12" t="s">
        <v>212</v>
      </c>
      <c r="G553" s="12" t="s">
        <v>3084</v>
      </c>
      <c r="H553" s="12"/>
      <c r="I553" s="12"/>
      <c r="J553" s="12"/>
      <c r="K553" s="45">
        <v>44783</v>
      </c>
      <c r="L553" s="45">
        <v>44783</v>
      </c>
      <c r="M553" s="45">
        <v>45379</v>
      </c>
      <c r="N553" s="12" t="s">
        <v>59</v>
      </c>
      <c r="O553" s="12" t="s">
        <v>60</v>
      </c>
      <c r="P553" s="12"/>
      <c r="Q553" s="12"/>
      <c r="R553" s="12" t="s">
        <v>1910</v>
      </c>
      <c r="S553" s="12"/>
      <c r="T553"/>
    </row>
    <row r="554" spans="1:20" ht="210" x14ac:dyDescent="0.25">
      <c r="A554" s="12" t="s">
        <v>3085</v>
      </c>
      <c r="B554" s="12" t="s">
        <v>197</v>
      </c>
      <c r="C554" s="12" t="s">
        <v>198</v>
      </c>
      <c r="D554" s="12" t="s">
        <v>252</v>
      </c>
      <c r="E554" s="12" t="s">
        <v>1883</v>
      </c>
      <c r="F554" s="12" t="s">
        <v>56</v>
      </c>
      <c r="G554" s="12" t="s">
        <v>3086</v>
      </c>
      <c r="H554" s="12"/>
      <c r="I554" s="12"/>
      <c r="J554" s="12" t="s">
        <v>915</v>
      </c>
      <c r="K554" s="45">
        <v>45596</v>
      </c>
      <c r="L554" s="45">
        <v>45516</v>
      </c>
      <c r="M554" s="45">
        <v>45523</v>
      </c>
      <c r="N554" s="12" t="s">
        <v>59</v>
      </c>
      <c r="O554" s="12" t="s">
        <v>60</v>
      </c>
      <c r="P554" s="12"/>
      <c r="Q554" s="12"/>
      <c r="R554" s="12" t="s">
        <v>1886</v>
      </c>
      <c r="S554" s="12"/>
      <c r="T554"/>
    </row>
    <row r="555" spans="1:20" ht="409.5" x14ac:dyDescent="0.25">
      <c r="A555" s="12" t="s">
        <v>3087</v>
      </c>
      <c r="B555" s="12" t="s">
        <v>200</v>
      </c>
      <c r="C555" s="12" t="s">
        <v>1846</v>
      </c>
      <c r="D555" s="12" t="s">
        <v>55</v>
      </c>
      <c r="E555" s="12" t="s">
        <v>1862</v>
      </c>
      <c r="F555" s="12" t="s">
        <v>56</v>
      </c>
      <c r="G555" s="12" t="s">
        <v>2930</v>
      </c>
      <c r="H555" s="12"/>
      <c r="I555" s="12"/>
      <c r="J555" s="12" t="s">
        <v>1867</v>
      </c>
      <c r="K555" s="45">
        <v>43390</v>
      </c>
      <c r="L555" s="45">
        <v>43376</v>
      </c>
      <c r="M555" s="45">
        <v>43404</v>
      </c>
      <c r="N555" s="12" t="s">
        <v>59</v>
      </c>
      <c r="O555" s="12" t="s">
        <v>60</v>
      </c>
      <c r="P555" s="12"/>
      <c r="Q555" s="12"/>
      <c r="R555" s="12" t="s">
        <v>1874</v>
      </c>
      <c r="S555" s="12"/>
      <c r="T555"/>
    </row>
    <row r="556" spans="1:20" ht="180" x14ac:dyDescent="0.25">
      <c r="A556" s="12" t="s">
        <v>3088</v>
      </c>
      <c r="B556" s="12" t="s">
        <v>200</v>
      </c>
      <c r="C556" s="12" t="s">
        <v>3089</v>
      </c>
      <c r="D556" s="12" t="s">
        <v>83</v>
      </c>
      <c r="E556" s="12" t="s">
        <v>1862</v>
      </c>
      <c r="F556" s="12" t="s">
        <v>56</v>
      </c>
      <c r="G556" s="12" t="s">
        <v>1863</v>
      </c>
      <c r="H556" s="12"/>
      <c r="I556" s="12"/>
      <c r="J556" s="12"/>
      <c r="K556" s="45">
        <v>42766</v>
      </c>
      <c r="L556" s="45">
        <v>42766</v>
      </c>
      <c r="M556" s="45">
        <v>42775</v>
      </c>
      <c r="N556" s="12" t="s">
        <v>91</v>
      </c>
      <c r="O556" s="12" t="s">
        <v>60</v>
      </c>
      <c r="P556" s="12"/>
      <c r="Q556" s="12"/>
      <c r="R556" s="12" t="s">
        <v>1864</v>
      </c>
      <c r="S556" s="12"/>
      <c r="T556"/>
    </row>
    <row r="557" spans="1:20" ht="300" x14ac:dyDescent="0.25">
      <c r="A557" s="12" t="s">
        <v>3090</v>
      </c>
      <c r="B557" s="12" t="s">
        <v>200</v>
      </c>
      <c r="C557" s="12" t="s">
        <v>3089</v>
      </c>
      <c r="D557" s="12" t="s">
        <v>236</v>
      </c>
      <c r="E557" s="12" t="s">
        <v>1883</v>
      </c>
      <c r="F557" s="12" t="s">
        <v>56</v>
      </c>
      <c r="G557" s="12" t="s">
        <v>1924</v>
      </c>
      <c r="H557" s="12" t="s">
        <v>3091</v>
      </c>
      <c r="I557" s="12"/>
      <c r="J557" s="12" t="s">
        <v>1880</v>
      </c>
      <c r="K557" s="45">
        <v>43831</v>
      </c>
      <c r="L557" s="45">
        <v>43662</v>
      </c>
      <c r="M557" s="45">
        <v>43663</v>
      </c>
      <c r="N557" s="12" t="s">
        <v>59</v>
      </c>
      <c r="O557" s="12" t="s">
        <v>60</v>
      </c>
      <c r="P557" s="12"/>
      <c r="Q557" s="12"/>
      <c r="R557" s="12" t="s">
        <v>1868</v>
      </c>
      <c r="S557" s="12" t="s">
        <v>3092</v>
      </c>
      <c r="T557"/>
    </row>
    <row r="558" spans="1:20" ht="195" x14ac:dyDescent="0.25">
      <c r="A558" s="12" t="s">
        <v>3093</v>
      </c>
      <c r="B558" s="12" t="s">
        <v>200</v>
      </c>
      <c r="C558" s="12" t="s">
        <v>1846</v>
      </c>
      <c r="D558" s="12" t="s">
        <v>126</v>
      </c>
      <c r="E558" s="12" t="s">
        <v>1862</v>
      </c>
      <c r="F558" s="12" t="s">
        <v>56</v>
      </c>
      <c r="G558" s="12" t="s">
        <v>1879</v>
      </c>
      <c r="H558" s="12"/>
      <c r="I558" s="12"/>
      <c r="J558" s="12" t="s">
        <v>1867</v>
      </c>
      <c r="K558" s="45">
        <v>42549</v>
      </c>
      <c r="L558" s="45">
        <v>42549</v>
      </c>
      <c r="M558" s="45">
        <v>42594</v>
      </c>
      <c r="N558" s="12" t="s">
        <v>91</v>
      </c>
      <c r="O558" s="12" t="s">
        <v>60</v>
      </c>
      <c r="P558" s="12"/>
      <c r="Q558" s="12"/>
      <c r="R558" s="12" t="s">
        <v>1881</v>
      </c>
      <c r="S558" s="12" t="s">
        <v>3094</v>
      </c>
      <c r="T558"/>
    </row>
  </sheetData>
  <mergeCells count="2">
    <mergeCell ref="L4:N4"/>
    <mergeCell ref="P4:R4"/>
  </mergeCells>
  <hyperlinks>
    <hyperlink ref="A1" location="'Table of Contents'!A1" display="&lt; Table of Contents" xr:uid="{00000000-0004-0000-0700-000000000000}"/>
  </hyperlinks>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N37"/>
  <sheetViews>
    <sheetView topLeftCell="R1" workbookViewId="0">
      <selection activeCell="AC16" sqref="AC16"/>
    </sheetView>
  </sheetViews>
  <sheetFormatPr defaultRowHeight="15" x14ac:dyDescent="0.25"/>
  <cols>
    <col min="1" max="2" width="12.5703125" style="1" customWidth="1"/>
    <col min="3" max="3" width="25.5703125" style="1" customWidth="1"/>
    <col min="4" max="4" width="12.5703125" style="1" customWidth="1"/>
    <col min="5" max="6" width="15.5703125" style="1" customWidth="1"/>
    <col min="7" max="7" width="12.5703125" style="1" customWidth="1"/>
    <col min="8" max="8" width="18.5703125" style="1" customWidth="1"/>
    <col min="9" max="9" width="20.5703125" style="1" customWidth="1"/>
    <col min="10" max="40" width="15.5703125" style="1" customWidth="1"/>
  </cols>
  <sheetData>
    <row r="1" spans="1:40" s="2" customFormat="1" x14ac:dyDescent="0.25">
      <c r="A1" s="48" t="s">
        <v>33</v>
      </c>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row>
    <row r="2" spans="1:40" s="2" customFormat="1" x14ac:dyDescent="0.25">
      <c r="A2" s="39"/>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row>
    <row r="3" spans="1:40" s="2" customFormat="1" ht="21" customHeight="1" x14ac:dyDescent="0.35">
      <c r="A3" s="50" t="s">
        <v>1856</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row>
    <row r="4" spans="1:40" s="2" customFormat="1" ht="15" customHeight="1" x14ac:dyDescent="0.25">
      <c r="A4" s="12"/>
      <c r="B4" s="12"/>
      <c r="C4" s="12"/>
      <c r="D4" s="12"/>
      <c r="E4" s="12"/>
      <c r="F4" s="12"/>
      <c r="G4" s="12"/>
      <c r="H4" s="12"/>
      <c r="I4" s="12"/>
      <c r="J4" s="62" t="s">
        <v>3095</v>
      </c>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row>
    <row r="5" spans="1:40" ht="26.1" customHeight="1" x14ac:dyDescent="0.25">
      <c r="A5" s="41" t="s">
        <v>37</v>
      </c>
      <c r="B5" s="41" t="s">
        <v>38</v>
      </c>
      <c r="C5" s="41" t="s">
        <v>39</v>
      </c>
      <c r="D5" s="41" t="s">
        <v>208</v>
      </c>
      <c r="E5" s="41" t="s">
        <v>1375</v>
      </c>
      <c r="F5" s="41" t="s">
        <v>210</v>
      </c>
      <c r="G5" s="41" t="s">
        <v>47</v>
      </c>
      <c r="H5" s="43" t="s">
        <v>3096</v>
      </c>
      <c r="I5" s="41" t="s">
        <v>1091</v>
      </c>
      <c r="J5" s="51" t="s">
        <v>53</v>
      </c>
      <c r="K5" s="51" t="s">
        <v>62</v>
      </c>
      <c r="L5" s="51" t="s">
        <v>65</v>
      </c>
      <c r="M5" s="51" t="s">
        <v>81</v>
      </c>
      <c r="N5" s="51" t="s">
        <v>94</v>
      </c>
      <c r="O5" s="51" t="s">
        <v>112</v>
      </c>
      <c r="P5" s="51" t="s">
        <v>97</v>
      </c>
      <c r="Q5" s="51" t="s">
        <v>103</v>
      </c>
      <c r="R5" s="51" t="s">
        <v>194</v>
      </c>
      <c r="S5" s="51" t="s">
        <v>106</v>
      </c>
      <c r="T5" s="51" t="s">
        <v>109</v>
      </c>
      <c r="U5" s="51" t="s">
        <v>115</v>
      </c>
      <c r="V5" s="51" t="s">
        <v>71</v>
      </c>
      <c r="W5" s="51" t="s">
        <v>121</v>
      </c>
      <c r="X5" s="51" t="s">
        <v>129</v>
      </c>
      <c r="Y5" s="51" t="s">
        <v>124</v>
      </c>
      <c r="Z5" s="51" t="s">
        <v>132</v>
      </c>
      <c r="AA5" s="51" t="s">
        <v>143</v>
      </c>
      <c r="AB5" s="51" t="s">
        <v>147</v>
      </c>
      <c r="AC5" s="51" t="s">
        <v>150</v>
      </c>
      <c r="AD5" s="51" t="s">
        <v>140</v>
      </c>
      <c r="AE5" s="51" t="s">
        <v>157</v>
      </c>
      <c r="AF5" s="51" t="s">
        <v>163</v>
      </c>
      <c r="AG5" s="51" t="s">
        <v>166</v>
      </c>
      <c r="AH5" s="51" t="s">
        <v>169</v>
      </c>
      <c r="AI5" s="51" t="s">
        <v>176</v>
      </c>
      <c r="AJ5" s="51" t="s">
        <v>182</v>
      </c>
      <c r="AK5" s="51" t="s">
        <v>197</v>
      </c>
      <c r="AL5" s="51" t="s">
        <v>191</v>
      </c>
      <c r="AM5" s="51" t="s">
        <v>186</v>
      </c>
      <c r="AN5" s="52" t="s">
        <v>200</v>
      </c>
    </row>
    <row r="6" spans="1:40" ht="26.1" customHeight="1" x14ac:dyDescent="0.25">
      <c r="A6" s="12" t="s">
        <v>3097</v>
      </c>
      <c r="B6" s="12" t="s">
        <v>62</v>
      </c>
      <c r="C6" s="12" t="s">
        <v>63</v>
      </c>
      <c r="D6" s="12" t="s">
        <v>55</v>
      </c>
      <c r="E6" s="12" t="s">
        <v>3098</v>
      </c>
      <c r="F6" s="12" t="s">
        <v>1867</v>
      </c>
      <c r="G6" s="12" t="s">
        <v>3099</v>
      </c>
      <c r="H6" s="12" t="s">
        <v>215</v>
      </c>
      <c r="I6" s="12" t="s">
        <v>1195</v>
      </c>
      <c r="J6" s="53" t="str">
        <f>HYPERLINK("#MesID623", "AT.NECI.623")</f>
        <v>AT.NECI.623</v>
      </c>
      <c r="K6" s="12"/>
      <c r="L6" s="12"/>
      <c r="M6" s="53" t="str">
        <f>HYPERLINK("#MesID625", "CY.NECI.625")</f>
        <v>CY.NECI.625</v>
      </c>
      <c r="N6" s="53" t="str">
        <f>HYPERLINK("#MesID622", "CZ.NECI.622")</f>
        <v>CZ.NECI.622</v>
      </c>
      <c r="O6" s="53" t="str">
        <f>HYPERLINK("#MesID569", "DE.NECI.569")</f>
        <v>DE.NECI.569</v>
      </c>
      <c r="P6" s="53" t="str">
        <f>HYPERLINK("#MesID589", "DK.RECI.589")</f>
        <v>DK.RECI.589</v>
      </c>
      <c r="Q6" s="53" t="str">
        <f>HYPERLINK("#MesID570", "EE.NECI.570")</f>
        <v>EE.NECI.570</v>
      </c>
      <c r="R6" s="53" t="str">
        <f>HYPERLINK("#MesID538", "ES.NECI.538")</f>
        <v>ES.NECI.538</v>
      </c>
      <c r="S6" s="53" t="str">
        <f>HYPERLINK("#MesID626", "FI.NECI.626")</f>
        <v>FI.NECI.626</v>
      </c>
      <c r="T6" s="53" t="str">
        <f>HYPERLINK("#MesID611", "FR.RECI.611")</f>
        <v>FR.RECI.611</v>
      </c>
      <c r="U6" s="53" t="str">
        <f>HYPERLINK("#MesID573", "GR.NECI.573")</f>
        <v>GR.NECI.573</v>
      </c>
      <c r="V6" s="53" t="str">
        <f>HYPERLINK("#MesID656", "HR.RECI.656")</f>
        <v>HR.RECI.656</v>
      </c>
      <c r="W6" s="53" t="str">
        <f>HYPERLINK("#MesID615", "HU.NECI.615")</f>
        <v>HU.NECI.615</v>
      </c>
      <c r="X6" s="53" t="str">
        <f>HYPERLINK("#MesID571", "IE.NECI.571")</f>
        <v>IE.NECI.571</v>
      </c>
      <c r="Y6" s="53" t="str">
        <f>HYPERLINK("#MesID831", "IS.NECI.831")</f>
        <v>IS.NECI.831</v>
      </c>
      <c r="Z6" s="53" t="str">
        <f>HYPERLINK("#MesID588", "IT.NECI.588")</f>
        <v>IT.NECI.588</v>
      </c>
      <c r="AA6" s="53" t="str">
        <f>HYPERLINK("#MesID950", "LI.NECI.950")</f>
        <v>LI.NECI.950</v>
      </c>
      <c r="AB6" s="53" t="str">
        <f>HYPERLINK("#MesID592", "LT.RECI.592")</f>
        <v>LT.RECI.592</v>
      </c>
      <c r="AC6" s="53" t="str">
        <f>HYPERLINK("#MesID598", "LU.NECI.598")</f>
        <v>LU.NECI.598</v>
      </c>
      <c r="AD6" s="53" t="str">
        <f>HYPERLINK("#MesID678", "LV.NECI.678")</f>
        <v>LV.NECI.678</v>
      </c>
      <c r="AE6" s="53" t="str">
        <f>HYPERLINK("#MesID713", "MT.NECI.713")</f>
        <v>MT.NECI.713</v>
      </c>
      <c r="AF6" s="53" t="str">
        <f>HYPERLINK("#MesID1010", "NL.RECI.1010")</f>
        <v>NL.RECI.1010</v>
      </c>
      <c r="AG6" s="53" t="str">
        <f>HYPERLINK("#MesID662", "NO.RECI.662")</f>
        <v>NO.RECI.662</v>
      </c>
      <c r="AH6" s="53" t="str">
        <f>HYPERLINK("#MesID603", "PL.NECI.603")</f>
        <v>PL.NECI.603</v>
      </c>
      <c r="AI6" s="53" t="str">
        <f>HYPERLINK("#MesID580", "PT.RECI.580")</f>
        <v>PT.RECI.580</v>
      </c>
      <c r="AJ6" s="53" t="str">
        <f>HYPERLINK("#MesID578", "RO.NECI.578")</f>
        <v>RO.NECI.578</v>
      </c>
      <c r="AK6" s="53" t="str">
        <f>HYPERLINK("#MesID689", "SE.NECI.689")</f>
        <v>SE.NECI.689</v>
      </c>
      <c r="AL6" s="53" t="str">
        <f>HYPERLINK("#MesID572", "SI.NECI.572")</f>
        <v>SI.NECI.572</v>
      </c>
      <c r="AM6" s="53" t="str">
        <f>HYPERLINK("#MesID599", "SK.NECI.599")</f>
        <v>SK.NECI.599</v>
      </c>
      <c r="AN6" s="53" t="str">
        <f>HYPERLINK("#MesID540", "UK.NECI.540")</f>
        <v>UK.NECI.540</v>
      </c>
    </row>
    <row r="7" spans="1:40" ht="26.1" customHeight="1" x14ac:dyDescent="0.25">
      <c r="A7" s="12" t="s">
        <v>3100</v>
      </c>
      <c r="B7" s="12" t="s">
        <v>62</v>
      </c>
      <c r="C7" s="12" t="s">
        <v>63</v>
      </c>
      <c r="D7" s="12" t="s">
        <v>77</v>
      </c>
      <c r="E7" s="12" t="s">
        <v>3098</v>
      </c>
      <c r="F7" s="12" t="s">
        <v>3101</v>
      </c>
      <c r="G7" s="12" t="s">
        <v>3102</v>
      </c>
      <c r="H7" s="12" t="s">
        <v>215</v>
      </c>
      <c r="I7" s="12" t="s">
        <v>3103</v>
      </c>
      <c r="J7" s="53" t="str">
        <f>HYPERLINK("#MesID293", "AT.NECI.293")</f>
        <v>AT.NECI.293</v>
      </c>
      <c r="K7" s="12"/>
      <c r="L7" s="53" t="str">
        <f>HYPERLINK("#MesID358", "BG.NECI.358")</f>
        <v>BG.NECI.358</v>
      </c>
      <c r="M7" s="53" t="str">
        <f>HYPERLINK("#MesID366", "CY.RECI.366")</f>
        <v>CY.RECI.366</v>
      </c>
      <c r="N7" s="53" t="str">
        <f>HYPERLINK("#MesID285", "CZ.NECI.285")</f>
        <v>CZ.NECI.285</v>
      </c>
      <c r="O7" s="53" t="str">
        <f>HYPERLINK("#MesID274", "DE.NECI.274")</f>
        <v>DE.NECI.274</v>
      </c>
      <c r="P7" s="53" t="str">
        <f>HYPERLINK("#MesID269", "DK.RECI.269")</f>
        <v>DK.RECI.269</v>
      </c>
      <c r="Q7" s="53" t="str">
        <f>HYPERLINK("#MesID339", "EE.NECI.339")</f>
        <v>EE.NECI.339</v>
      </c>
      <c r="R7" s="53" t="str">
        <f>HYPERLINK("#MesID278", "ES.NECI.278")</f>
        <v>ES.NECI.278</v>
      </c>
      <c r="S7" s="12"/>
      <c r="T7" s="53" t="str">
        <f>HYPERLINK("#MesID106", "FR.RECI.106")</f>
        <v>FR.RECI.106</v>
      </c>
      <c r="U7" s="12"/>
      <c r="V7" s="53" t="str">
        <f>HYPERLINK("#MesID374", "HR.RECI.374")</f>
        <v>HR.RECI.374</v>
      </c>
      <c r="W7" s="53" t="str">
        <f>HYPERLINK("#MesID350", "HU.NECI.350")</f>
        <v>HU.NECI.350</v>
      </c>
      <c r="X7" s="53" t="str">
        <f>HYPERLINK("#MesID275", "IE.NECI.275")</f>
        <v>IE.NECI.275</v>
      </c>
      <c r="Y7" s="12"/>
      <c r="Z7" s="53" t="str">
        <f>HYPERLINK("#MesID277", "IT.NECI.277")</f>
        <v>IT.NECI.277</v>
      </c>
      <c r="AA7" s="12"/>
      <c r="AB7" s="53" t="str">
        <f>HYPERLINK("#MesID270", "LT.RECI.270")</f>
        <v>LT.RECI.270</v>
      </c>
      <c r="AC7" s="12"/>
      <c r="AD7" s="53" t="str">
        <f>HYPERLINK("#MesID287", "LV.RECI.287")</f>
        <v>LV.RECI.287</v>
      </c>
      <c r="AE7" s="53" t="str">
        <f>HYPERLINK("#MesID338", "MT.NECI.338")</f>
        <v>MT.NECI.338</v>
      </c>
      <c r="AF7" s="12"/>
      <c r="AG7" s="12"/>
      <c r="AH7" s="53" t="str">
        <f>HYPERLINK("#MesID281", "PL.NECI.281")</f>
        <v>PL.NECI.281</v>
      </c>
      <c r="AI7" s="53" t="str">
        <f>HYPERLINK("#MesID264", "PT.RECI.264")</f>
        <v>PT.RECI.264</v>
      </c>
      <c r="AJ7" s="12"/>
      <c r="AK7" s="12"/>
      <c r="AL7" s="12"/>
      <c r="AM7" s="53" t="str">
        <f>HYPERLINK("#MesID280", "SK.NECI.280")</f>
        <v>SK.NECI.280</v>
      </c>
      <c r="AN7" s="53" t="str">
        <f>HYPERLINK("#MesID276", "UK.NECI.276")</f>
        <v>UK.NECI.276</v>
      </c>
    </row>
    <row r="8" spans="1:40" ht="26.1" customHeight="1" x14ac:dyDescent="0.25">
      <c r="A8" s="12" t="s">
        <v>3104</v>
      </c>
      <c r="B8" s="12" t="s">
        <v>62</v>
      </c>
      <c r="C8" s="12" t="s">
        <v>63</v>
      </c>
      <c r="D8" s="12" t="s">
        <v>88</v>
      </c>
      <c r="E8" s="12" t="s">
        <v>3098</v>
      </c>
      <c r="F8" s="12" t="s">
        <v>1880</v>
      </c>
      <c r="G8" s="12" t="s">
        <v>3099</v>
      </c>
      <c r="H8" s="12" t="s">
        <v>215</v>
      </c>
      <c r="I8" s="12"/>
      <c r="J8" s="12"/>
      <c r="K8" s="12"/>
      <c r="L8" s="12"/>
      <c r="M8" s="12"/>
      <c r="N8" s="12"/>
      <c r="O8" s="12"/>
      <c r="P8" s="12"/>
      <c r="Q8" s="12"/>
      <c r="R8" s="12"/>
      <c r="S8" s="12"/>
      <c r="T8" s="12"/>
      <c r="U8" s="12"/>
      <c r="V8" s="12"/>
      <c r="W8" s="12"/>
      <c r="X8" s="12"/>
      <c r="Y8" s="12"/>
      <c r="Z8" s="12"/>
      <c r="AA8" s="12"/>
      <c r="AB8" s="12"/>
      <c r="AC8" s="53" t="str">
        <f>HYPERLINK("#MesID918", "LU.RECI.918")</f>
        <v>LU.RECI.918</v>
      </c>
      <c r="AD8" s="12"/>
      <c r="AE8" s="12"/>
      <c r="AF8" s="53" t="str">
        <f>HYPERLINK("#MesID142", "NL.RECI.142")</f>
        <v>NL.RECI.142</v>
      </c>
      <c r="AG8" s="12"/>
      <c r="AH8" s="12"/>
      <c r="AI8" s="12"/>
      <c r="AJ8" s="53" t="str">
        <f>HYPERLINK("#MesID382", "RO.NECI.382")</f>
        <v>RO.NECI.382</v>
      </c>
      <c r="AK8" s="53" t="str">
        <f>HYPERLINK("#MesID333", "SE.NECI.333")</f>
        <v>SE.NECI.333</v>
      </c>
      <c r="AL8" s="12"/>
      <c r="AM8" s="12"/>
      <c r="AN8" s="12"/>
    </row>
    <row r="9" spans="1:40" ht="45" x14ac:dyDescent="0.25">
      <c r="A9" s="12" t="s">
        <v>1116</v>
      </c>
      <c r="B9" s="12" t="s">
        <v>62</v>
      </c>
      <c r="C9" s="12" t="s">
        <v>63</v>
      </c>
      <c r="D9" s="12" t="s">
        <v>224</v>
      </c>
      <c r="E9" s="12" t="s">
        <v>3105</v>
      </c>
      <c r="F9" s="12" t="s">
        <v>915</v>
      </c>
      <c r="G9" s="12" t="s">
        <v>3099</v>
      </c>
      <c r="H9" s="12" t="s">
        <v>215</v>
      </c>
      <c r="I9" s="12" t="s">
        <v>1121</v>
      </c>
      <c r="J9" s="12"/>
      <c r="K9" s="12"/>
      <c r="L9" s="53" t="str">
        <f>HYPERLINK("#MesID1167", "BG.NECI.1167")</f>
        <v>BG.NECI.1167</v>
      </c>
      <c r="M9" s="53" t="str">
        <f>HYPERLINK("#MesID1306", "CY.NECI.1306")</f>
        <v>CY.NECI.1306</v>
      </c>
      <c r="N9" s="53" t="str">
        <f>HYPERLINK("#MesID1681", "CZ.NECI.1681")</f>
        <v>CZ.NECI.1681</v>
      </c>
      <c r="O9" s="53" t="str">
        <f>HYPERLINK("#MesID1175", "DE.NECI.1175")</f>
        <v>DE.NECI.1175</v>
      </c>
      <c r="P9" s="12"/>
      <c r="Q9" s="12"/>
      <c r="R9" s="53" t="str">
        <f>HYPERLINK("#MesID1152", "ES.NECI.1152")</f>
        <v>ES.NECI.1152</v>
      </c>
      <c r="S9" s="12"/>
      <c r="T9" s="53" t="str">
        <f>HYPERLINK("#MesID1234", "FR.RECI.1234")</f>
        <v>FR.RECI.1234</v>
      </c>
      <c r="U9" s="53" t="str">
        <f>HYPERLINK("#MesID1195", "GR.NECI.1195")</f>
        <v>GR.NECI.1195</v>
      </c>
      <c r="V9" s="53" t="str">
        <f>HYPERLINK("#MesID1148", "HR.NECI.1148")</f>
        <v>HR.NECI.1148</v>
      </c>
      <c r="W9" s="53" t="str">
        <f>HYPERLINK("#MesID1310", "HU.NECI.1310")</f>
        <v>HU.NECI.1310</v>
      </c>
      <c r="X9" s="12"/>
      <c r="Y9" s="53" t="str">
        <f>HYPERLINK("#MesID1302", "IS.NECI.1302")</f>
        <v>IS.NECI.1302</v>
      </c>
      <c r="Z9" s="53" t="str">
        <f>HYPERLINK("#MesID1160", "IT.NECI.1160")</f>
        <v>IT.NECI.1160</v>
      </c>
      <c r="AA9" s="53" t="str">
        <f>HYPERLINK("#MesID1323", "LI.NECI.1323")</f>
        <v>LI.NECI.1323</v>
      </c>
      <c r="AB9" s="53" t="str">
        <f>HYPERLINK("#MesID1278", "LT.RECI.1278")</f>
        <v>LT.RECI.1278</v>
      </c>
      <c r="AC9" s="53" t="str">
        <f>HYPERLINK("#MesID1199", "LU.NECI.1199")</f>
        <v>LU.NECI.1199</v>
      </c>
      <c r="AD9" s="53" t="str">
        <f>HYPERLINK("#MesID1229", "LV.NECI.1229")</f>
        <v>LV.NECI.1229</v>
      </c>
      <c r="AE9" s="12"/>
      <c r="AF9" s="53" t="str">
        <f>HYPERLINK("#MesID1253", "NL.RECI.1253")</f>
        <v>NL.RECI.1253</v>
      </c>
      <c r="AG9" s="53" t="str">
        <f>HYPERLINK("#MesID1340", "NO.RECI.1340")</f>
        <v>NO.RECI.1340</v>
      </c>
      <c r="AH9" s="53" t="str">
        <f>HYPERLINK("#MesID1673", "PL.NECI.1673")</f>
        <v>PL.NECI.1673</v>
      </c>
      <c r="AI9" s="53" t="str">
        <f>HYPERLINK("#MesID1146", "PT.NECI.1146")</f>
        <v>PT.NECI.1146</v>
      </c>
      <c r="AJ9" s="53" t="str">
        <f>HYPERLINK("#MesID1141", "RO.NECI.1141")</f>
        <v>RO.NECI.1141</v>
      </c>
      <c r="AK9" s="53" t="str">
        <f>HYPERLINK("#MesID1682", "SE.NECI.1682")</f>
        <v>SE.NECI.1682</v>
      </c>
      <c r="AL9" s="53" t="str">
        <f>HYPERLINK("#MesID1108", "SI.NECI.1108")</f>
        <v>SI.NECI.1108</v>
      </c>
      <c r="AM9" s="12"/>
      <c r="AN9" s="12"/>
    </row>
    <row r="10" spans="1:40" ht="45" x14ac:dyDescent="0.25">
      <c r="A10" s="12" t="s">
        <v>1113</v>
      </c>
      <c r="B10" s="12" t="s">
        <v>62</v>
      </c>
      <c r="C10" s="12" t="s">
        <v>63</v>
      </c>
      <c r="D10" s="12" t="s">
        <v>220</v>
      </c>
      <c r="E10" s="12" t="s">
        <v>3105</v>
      </c>
      <c r="F10" s="12" t="s">
        <v>915</v>
      </c>
      <c r="G10" s="12" t="s">
        <v>3102</v>
      </c>
      <c r="H10" s="12" t="s">
        <v>215</v>
      </c>
      <c r="I10" s="12" t="s">
        <v>1117</v>
      </c>
      <c r="J10" s="12"/>
      <c r="K10" s="12"/>
      <c r="L10" s="53" t="str">
        <f>HYPERLINK("#MesID1556", "BG.NECI.1556")</f>
        <v>BG.NECI.1556</v>
      </c>
      <c r="M10" s="53" t="str">
        <f>HYPERLINK("#MesID1536", "CY.NECI.1536")</f>
        <v>CY.NECI.1536</v>
      </c>
      <c r="N10" s="53" t="str">
        <f>HYPERLINK("#MesID1534", "CZ.NECI.1534")</f>
        <v>CZ.NECI.1534</v>
      </c>
      <c r="O10" s="12"/>
      <c r="P10" s="12"/>
      <c r="Q10" s="12"/>
      <c r="R10" s="53" t="str">
        <f>HYPERLINK("#MesID1508", "ES.NECI.1508")</f>
        <v>ES.NECI.1508</v>
      </c>
      <c r="S10" s="12"/>
      <c r="T10" s="53" t="str">
        <f>HYPERLINK("#MesID1499", "FR.RECI.1499")</f>
        <v>FR.RECI.1499</v>
      </c>
      <c r="U10" s="53" t="str">
        <f>HYPERLINK("#MesID1524", "GR.NECI.1524")</f>
        <v>GR.NECI.1524</v>
      </c>
      <c r="V10" s="12"/>
      <c r="W10" s="53" t="str">
        <f>HYPERLINK("#MesID1576", "HU.NECI.1576")</f>
        <v>HU.NECI.1576</v>
      </c>
      <c r="X10" s="53" t="str">
        <f>HYPERLINK("#MesID1471", "IE.NECI.1471")</f>
        <v>IE.NECI.1471</v>
      </c>
      <c r="Y10" s="53" t="str">
        <f>HYPERLINK("#MesID1492", "IS.NECI.1492")</f>
        <v>IS.NECI.1492</v>
      </c>
      <c r="Z10" s="53" t="str">
        <f>HYPERLINK("#MesID1514", "IT.NECI.1514")</f>
        <v>IT.NECI.1514</v>
      </c>
      <c r="AA10" s="53" t="str">
        <f>HYPERLINK("#MesID1616", "LI.NECI.1616")</f>
        <v>LI.NECI.1616</v>
      </c>
      <c r="AB10" s="53" t="str">
        <f>HYPERLINK("#MesID1513", "LT.RECI.1513")</f>
        <v>LT.RECI.1513</v>
      </c>
      <c r="AC10" s="53" t="str">
        <f>HYPERLINK("#MesID1528", "LU.NECI.1528")</f>
        <v>LU.NECI.1528</v>
      </c>
      <c r="AD10" s="53" t="str">
        <f>HYPERLINK("#MesID1538", "LV.NECI.1538")</f>
        <v>LV.NECI.1538</v>
      </c>
      <c r="AE10" s="53" t="str">
        <f>HYPERLINK("#MesID1657", "MT.NECI.1657")</f>
        <v>MT.NECI.1657</v>
      </c>
      <c r="AF10" s="53" t="str">
        <f>HYPERLINK("#MesID1527", "NL.RECI.1527")</f>
        <v>NL.RECI.1527</v>
      </c>
      <c r="AG10" s="53" t="str">
        <f>HYPERLINK("#MesID1526", "NO.NECI.1526")</f>
        <v>NO.NECI.1526</v>
      </c>
      <c r="AH10" s="53" t="str">
        <f>HYPERLINK("#MesID1624", "PL.NECI.1624")</f>
        <v>PL.NECI.1624</v>
      </c>
      <c r="AI10" s="12"/>
      <c r="AJ10" s="53" t="str">
        <f>HYPERLINK("#MesID1490", "RO.NECI.1490")</f>
        <v>RO.NECI.1490</v>
      </c>
      <c r="AK10" s="12"/>
      <c r="AL10" s="53" t="str">
        <f>HYPERLINK("#MesID1519", "SI.NECI.1519")</f>
        <v>SI.NECI.1519</v>
      </c>
      <c r="AM10" s="12"/>
      <c r="AN10" s="12"/>
    </row>
    <row r="11" spans="1:40" ht="26.1" customHeight="1" x14ac:dyDescent="0.25">
      <c r="A11" s="12" t="s">
        <v>1212</v>
      </c>
      <c r="B11" s="12" t="s">
        <v>112</v>
      </c>
      <c r="C11" s="12" t="s">
        <v>113</v>
      </c>
      <c r="D11" s="12" t="s">
        <v>224</v>
      </c>
      <c r="E11" s="12" t="s">
        <v>3105</v>
      </c>
      <c r="F11" s="12" t="s">
        <v>915</v>
      </c>
      <c r="G11" s="12" t="s">
        <v>3102</v>
      </c>
      <c r="H11" s="12" t="s">
        <v>215</v>
      </c>
      <c r="I11" s="12" t="s">
        <v>1216</v>
      </c>
      <c r="J11" s="12"/>
      <c r="K11" s="53" t="str">
        <f>HYPERLINK("#MesID1593", "BE.RECI.1593")</f>
        <v>BE.RECI.1593</v>
      </c>
      <c r="L11" s="12"/>
      <c r="M11" s="53" t="str">
        <f>HYPERLINK("#MesID1502", "CY.NECI.1502")</f>
        <v>CY.NECI.1502</v>
      </c>
      <c r="N11" s="12"/>
      <c r="O11" s="12"/>
      <c r="P11" s="53" t="str">
        <f>HYPERLINK("#MesID1203", "DK.NECI.1203")</f>
        <v>DK.NECI.1203</v>
      </c>
      <c r="Q11" s="53" t="str">
        <f>HYPERLINK("#MesID1177", "EE.NECI.1177")</f>
        <v>EE.NECI.1177</v>
      </c>
      <c r="R11" s="53" t="str">
        <f>HYPERLINK("#MesID1185", "ES.NECI.1185")</f>
        <v>ES.NECI.1185</v>
      </c>
      <c r="S11" s="12"/>
      <c r="T11" s="53" t="str">
        <f>HYPERLINK("#MesID1235", "FR.RECI.1235")</f>
        <v>FR.RECI.1235</v>
      </c>
      <c r="U11" s="53" t="str">
        <f>HYPERLINK("#MesID1287", "GR.NECI.1287")</f>
        <v>GR.NECI.1287</v>
      </c>
      <c r="V11" s="53" t="str">
        <f>HYPERLINK("#MesID1165", "HR.NECI.1165")</f>
        <v>HR.NECI.1165</v>
      </c>
      <c r="W11" s="53" t="str">
        <f>HYPERLINK("#MesID1309", "HU.NECI.1309")</f>
        <v>HU.NECI.1309</v>
      </c>
      <c r="X11" s="53" t="str">
        <f>HYPERLINK("#MesID1285", "IE.NECI.1285")</f>
        <v>IE.NECI.1285</v>
      </c>
      <c r="Y11" s="53" t="str">
        <f>HYPERLINK("#MesID1303", "IS.NECI.1303")</f>
        <v>IS.NECI.1303</v>
      </c>
      <c r="Z11" s="53" t="str">
        <f>HYPERLINK("#MesID1219", "IT.RECI.1219")</f>
        <v>IT.RECI.1219</v>
      </c>
      <c r="AA11" s="53" t="str">
        <f>HYPERLINK("#MesID1368", "LI.NECI.1368")</f>
        <v>LI.NECI.1368</v>
      </c>
      <c r="AB11" s="53" t="str">
        <f>HYPERLINK("#MesID1279", "LT.RECI.1279")</f>
        <v>LT.RECI.1279</v>
      </c>
      <c r="AC11" s="53" t="str">
        <f>HYPERLINK("#MesID1202", "LU.NECI.1202")</f>
        <v>LU.NECI.1202</v>
      </c>
      <c r="AD11" s="53" t="str">
        <f>HYPERLINK("#MesID1241", "LV.NECI.1241")</f>
        <v>LV.NECI.1241</v>
      </c>
      <c r="AE11" s="53" t="str">
        <f>HYPERLINK("#MesID1184", "MT.NECI.1184")</f>
        <v>MT.NECI.1184</v>
      </c>
      <c r="AF11" s="53" t="str">
        <f>HYPERLINK("#MesID1254", "NL.RECI.1254")</f>
        <v>NL.RECI.1254</v>
      </c>
      <c r="AG11" s="53" t="str">
        <f>HYPERLINK("#MesID1342", "NO.RECI.1342")</f>
        <v>NO.RECI.1342</v>
      </c>
      <c r="AH11" s="53" t="str">
        <f>HYPERLINK("#MesID1178", "PL.NECI.1178")</f>
        <v>PL.NECI.1178</v>
      </c>
      <c r="AI11" s="53" t="str">
        <f>HYPERLINK("#MesID1201", "PT.NECI.1201")</f>
        <v>PT.NECI.1201</v>
      </c>
      <c r="AJ11" s="53" t="str">
        <f>HYPERLINK("#MesID1240", "RO.NECI.1240")</f>
        <v>RO.NECI.1240</v>
      </c>
      <c r="AK11" s="53" t="str">
        <f>HYPERLINK("#MesID1530", "SE.NECI.1530")</f>
        <v>SE.NECI.1530</v>
      </c>
      <c r="AL11" s="53" t="str">
        <f>HYPERLINK("#MesID1151", "SI.NECI.1151")</f>
        <v>SI.NECI.1151</v>
      </c>
      <c r="AM11" s="12"/>
      <c r="AN11" s="12"/>
    </row>
    <row r="12" spans="1:40" ht="39" customHeight="1" x14ac:dyDescent="0.25">
      <c r="A12" s="12" t="s">
        <v>1210</v>
      </c>
      <c r="B12" s="12" t="s">
        <v>112</v>
      </c>
      <c r="C12" s="12" t="s">
        <v>113</v>
      </c>
      <c r="D12" s="12" t="s">
        <v>252</v>
      </c>
      <c r="E12" s="12" t="s">
        <v>3105</v>
      </c>
      <c r="F12" s="12" t="s">
        <v>915</v>
      </c>
      <c r="G12" s="12" t="s">
        <v>3102</v>
      </c>
      <c r="H12" s="12" t="s">
        <v>215</v>
      </c>
      <c r="I12" s="12"/>
      <c r="J12" s="12"/>
      <c r="K12" s="12"/>
      <c r="L12" s="53" t="str">
        <f>HYPERLINK("#MesID1551", "BG.NECI.1551")</f>
        <v>BG.NECI.1551</v>
      </c>
      <c r="M12" s="12"/>
      <c r="N12" s="12"/>
      <c r="O12" s="12"/>
      <c r="P12" s="12"/>
      <c r="Q12" s="12"/>
      <c r="R12" s="12"/>
      <c r="S12" s="12"/>
      <c r="T12" s="12"/>
      <c r="U12" s="12"/>
      <c r="V12" s="12"/>
      <c r="W12" s="53" t="str">
        <f>HYPERLINK("#MesID1626", "HU.NECI.1626")</f>
        <v>HU.NECI.1626</v>
      </c>
      <c r="X12" s="12"/>
      <c r="Y12" s="12"/>
      <c r="Z12" s="12"/>
      <c r="AA12" s="12"/>
      <c r="AB12" s="12"/>
      <c r="AC12" s="12"/>
      <c r="AD12" s="12"/>
      <c r="AE12" s="12"/>
      <c r="AF12" s="12"/>
      <c r="AG12" s="12"/>
      <c r="AH12" s="12"/>
      <c r="AI12" s="12"/>
      <c r="AJ12" s="12"/>
      <c r="AK12" s="53" t="str">
        <f>HYPERLINK("#MesID1570", "SE.NECI.1570")</f>
        <v>SE.NECI.1570</v>
      </c>
      <c r="AL12" s="12"/>
      <c r="AM12" s="12"/>
      <c r="AN12" s="12"/>
    </row>
    <row r="13" spans="1:40" ht="26.1" customHeight="1" x14ac:dyDescent="0.25">
      <c r="A13" s="12" t="s">
        <v>1171</v>
      </c>
      <c r="B13" s="12" t="s">
        <v>97</v>
      </c>
      <c r="C13" s="12" t="s">
        <v>1172</v>
      </c>
      <c r="D13" s="12" t="s">
        <v>220</v>
      </c>
      <c r="E13" s="12" t="s">
        <v>3105</v>
      </c>
      <c r="F13" s="12" t="s">
        <v>915</v>
      </c>
      <c r="G13" s="12" t="s">
        <v>3102</v>
      </c>
      <c r="H13" s="12" t="s">
        <v>60</v>
      </c>
      <c r="I13" s="12"/>
      <c r="J13" s="12"/>
      <c r="K13" s="53" t="str">
        <f>HYPERLINK("#MesID1614", "BE.RECI.1614")</f>
        <v>BE.RECI.1614</v>
      </c>
      <c r="L13" s="53" t="str">
        <f>HYPERLINK("#MesID1558", "BG.NECI.1558")</f>
        <v>BG.NECI.1558</v>
      </c>
      <c r="M13" s="53" t="str">
        <f>HYPERLINK("#MesID1663", "CY.NECI.1663")</f>
        <v>CY.NECI.1663</v>
      </c>
      <c r="N13" s="53" t="str">
        <f>HYPERLINK("#MesID1622", "CZ.NECI.1622")</f>
        <v>CZ.NECI.1622</v>
      </c>
      <c r="O13" s="12"/>
      <c r="P13" s="12"/>
      <c r="Q13" s="53" t="str">
        <f>HYPERLINK("#MesID1559", "EE.NECI.1559")</f>
        <v>EE.NECI.1559</v>
      </c>
      <c r="R13" s="53" t="str">
        <f>HYPERLINK("#MesID1612", "ES.NECI.1612")</f>
        <v>ES.NECI.1612</v>
      </c>
      <c r="S13" s="12"/>
      <c r="T13" s="12"/>
      <c r="U13" s="53" t="str">
        <f>HYPERLINK("#MesID1662", "GR.NECI.1662")</f>
        <v>GR.NECI.1662</v>
      </c>
      <c r="V13" s="53" t="str">
        <f>HYPERLINK("#MesID1648", "HR.NECI.1648")</f>
        <v>HR.NECI.1648</v>
      </c>
      <c r="W13" s="53" t="str">
        <f>HYPERLINK("#MesID1625", "HU.NECI.1625")</f>
        <v>HU.NECI.1625</v>
      </c>
      <c r="X13" s="53" t="str">
        <f>HYPERLINK("#MesID1585", "IE.NECI.1585")</f>
        <v>IE.NECI.1585</v>
      </c>
      <c r="Y13" s="53" t="str">
        <f>HYPERLINK("#MesID1582", "IS.NECI.1582")</f>
        <v>IS.NECI.1582</v>
      </c>
      <c r="Z13" s="53" t="str">
        <f>HYPERLINK("#MesID1652", "IT.NECI.1652")</f>
        <v>IT.NECI.1652</v>
      </c>
      <c r="AA13" s="53" t="str">
        <f>HYPERLINK("#MesID1594", "LI.NECI.1594")</f>
        <v>LI.NECI.1594</v>
      </c>
      <c r="AB13" s="53" t="str">
        <f>HYPERLINK("#MesID1641", "LT.RECI.1641")</f>
        <v>LT.RECI.1641</v>
      </c>
      <c r="AC13" s="53" t="str">
        <f>HYPERLINK("#MesID1541", "LU.NECI.1541")</f>
        <v>LU.NECI.1541</v>
      </c>
      <c r="AD13" s="53" t="str">
        <f>HYPERLINK("#MesID1605", "LV.NECI.1605")</f>
        <v>LV.NECI.1605</v>
      </c>
      <c r="AE13" s="53" t="str">
        <f>HYPERLINK("#MesID1590", "MT.NECI.1590")</f>
        <v>MT.NECI.1590</v>
      </c>
      <c r="AF13" s="53" t="str">
        <f>HYPERLINK("#MesID1600", "NL.NECI.1600")</f>
        <v>NL.NECI.1600</v>
      </c>
      <c r="AG13" s="53" t="str">
        <f>HYPERLINK("#MesID1667", "NO.NECI.1667")</f>
        <v>NO.NECI.1667</v>
      </c>
      <c r="AH13" s="53" t="str">
        <f>HYPERLINK("#MesID1608", "PL.NECI.1608")</f>
        <v>PL.NECI.1608</v>
      </c>
      <c r="AI13" s="12"/>
      <c r="AJ13" s="12"/>
      <c r="AK13" s="53" t="str">
        <f>HYPERLINK("#MesID1589", "SE.RECI.1589")</f>
        <v>SE.RECI.1589</v>
      </c>
      <c r="AL13" s="53" t="str">
        <f>HYPERLINK("#MesID1573", "SI.NECI.1573")</f>
        <v>SI.NECI.1573</v>
      </c>
      <c r="AM13" s="12"/>
      <c r="AN13" s="12"/>
    </row>
    <row r="14" spans="1:40" ht="26.1" customHeight="1" x14ac:dyDescent="0.25">
      <c r="A14" s="12" t="s">
        <v>1178</v>
      </c>
      <c r="B14" s="12" t="s">
        <v>97</v>
      </c>
      <c r="C14" s="12" t="s">
        <v>1172</v>
      </c>
      <c r="D14" s="12" t="s">
        <v>55</v>
      </c>
      <c r="E14" s="12" t="s">
        <v>3105</v>
      </c>
      <c r="F14" s="12" t="s">
        <v>915</v>
      </c>
      <c r="G14" s="12" t="s">
        <v>3102</v>
      </c>
      <c r="H14" s="12" t="s">
        <v>60</v>
      </c>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53" t="str">
        <f>HYPERLINK("#MesID1533", "SI.NECI.1533")</f>
        <v>SI.NECI.1533</v>
      </c>
      <c r="AM14" s="12"/>
      <c r="AN14" s="12"/>
    </row>
    <row r="15" spans="1:40" ht="26.1" customHeight="1" x14ac:dyDescent="0.25">
      <c r="A15" s="12" t="s">
        <v>1193</v>
      </c>
      <c r="B15" s="12" t="s">
        <v>103</v>
      </c>
      <c r="C15" s="12" t="s">
        <v>104</v>
      </c>
      <c r="D15" s="12" t="s">
        <v>55</v>
      </c>
      <c r="E15" s="12" t="s">
        <v>3105</v>
      </c>
      <c r="F15" s="12" t="s">
        <v>915</v>
      </c>
      <c r="G15" s="12" t="s">
        <v>3099</v>
      </c>
      <c r="H15" s="12" t="s">
        <v>215</v>
      </c>
      <c r="I15" s="12" t="s">
        <v>1195</v>
      </c>
      <c r="J15" s="12"/>
      <c r="K15" s="53" t="str">
        <f>HYPERLINK("#MesID666", "BE.RECI.666")</f>
        <v>BE.RECI.666</v>
      </c>
      <c r="L15" s="12"/>
      <c r="M15" s="53" t="str">
        <f>HYPERLINK("#MesID667", "CY.NECI.667")</f>
        <v>CY.NECI.667</v>
      </c>
      <c r="N15" s="12"/>
      <c r="O15" s="12"/>
      <c r="P15" s="12"/>
      <c r="Q15" s="12"/>
      <c r="R15" s="53" t="str">
        <f>HYPERLINK("#MesID642", "ES.NECI.642")</f>
        <v>ES.NECI.642</v>
      </c>
      <c r="S15" s="53" t="str">
        <f>HYPERLINK("#MesID463", "FI.RECI.463")</f>
        <v>FI.RECI.463</v>
      </c>
      <c r="T15" s="53" t="str">
        <f>HYPERLINK("#MesID711", "FR.RECI.711")</f>
        <v>FR.RECI.711</v>
      </c>
      <c r="U15" s="53" t="str">
        <f>HYPERLINK("#MesID655", "GR.NECI.655")</f>
        <v>GR.NECI.655</v>
      </c>
      <c r="V15" s="53" t="str">
        <f>HYPERLINK("#MesID702", "HR.RECI.702")</f>
        <v>HR.RECI.702</v>
      </c>
      <c r="W15" s="12"/>
      <c r="X15" s="53" t="str">
        <f>HYPERLINK("#MesID649", "IE.NECI.649")</f>
        <v>IE.NECI.649</v>
      </c>
      <c r="Y15" s="53" t="str">
        <f>HYPERLINK("#MesID832", "IS.NECI.832")</f>
        <v>IS.NECI.832</v>
      </c>
      <c r="Z15" s="12"/>
      <c r="AA15" s="12"/>
      <c r="AB15" s="12"/>
      <c r="AC15" s="12"/>
      <c r="AD15" s="12"/>
      <c r="AE15" s="12"/>
      <c r="AF15" s="53" t="str">
        <f>HYPERLINK("#MesID635", "NL.NECI.635")</f>
        <v>NL.NECI.635</v>
      </c>
      <c r="AG15" s="12"/>
      <c r="AH15" s="12"/>
      <c r="AI15" s="12"/>
      <c r="AJ15" s="12"/>
      <c r="AK15" s="12"/>
      <c r="AL15" s="53" t="str">
        <f>HYPERLINK("#MesID633", "SI.NECI.633")</f>
        <v>SI.NECI.633</v>
      </c>
      <c r="AM15" s="12"/>
      <c r="AN15" s="12"/>
    </row>
    <row r="16" spans="1:40" ht="26.1" customHeight="1" x14ac:dyDescent="0.25">
      <c r="A16" s="12" t="s">
        <v>1196</v>
      </c>
      <c r="B16" s="12" t="s">
        <v>103</v>
      </c>
      <c r="C16" s="12" t="s">
        <v>104</v>
      </c>
      <c r="D16" s="12" t="s">
        <v>126</v>
      </c>
      <c r="E16" s="12" t="s">
        <v>3105</v>
      </c>
      <c r="F16" s="12" t="s">
        <v>915</v>
      </c>
      <c r="G16" s="12" t="s">
        <v>3099</v>
      </c>
      <c r="H16" s="12" t="s">
        <v>215</v>
      </c>
      <c r="I16" s="12" t="s">
        <v>1198</v>
      </c>
      <c r="J16" s="53" t="str">
        <f>HYPERLINK("#MesID297", "AT.NECI.297")</f>
        <v>AT.NECI.297</v>
      </c>
      <c r="K16" s="53" t="str">
        <f>HYPERLINK("#MesID273", "BE.RECI.273")</f>
        <v>BE.RECI.273</v>
      </c>
      <c r="L16" s="53" t="str">
        <f>HYPERLINK("#MesID359", "BG.NECI.359")</f>
        <v>BG.NECI.359</v>
      </c>
      <c r="M16" s="53" t="str">
        <f>HYPERLINK("#MesID368", "CY.RECI.368")</f>
        <v>CY.RECI.368</v>
      </c>
      <c r="N16" s="53" t="str">
        <f>HYPERLINK("#MesID272", "CZ.RECI.272")</f>
        <v>CZ.RECI.272</v>
      </c>
      <c r="O16" s="53" t="str">
        <f>HYPERLINK("#MesID292", "DE.NECI.292")</f>
        <v>DE.NECI.292</v>
      </c>
      <c r="P16" s="53" t="str">
        <f>HYPERLINK("#MesID337", "DK.RECI.337")</f>
        <v>DK.RECI.337</v>
      </c>
      <c r="Q16" s="12"/>
      <c r="R16" s="53" t="str">
        <f>HYPERLINK("#MesID294", "ES.NECI.294")</f>
        <v>ES.NECI.294</v>
      </c>
      <c r="S16" s="53" t="str">
        <f>HYPERLINK("#MesID344", "FI.NECI.344")</f>
        <v>FI.NECI.344</v>
      </c>
      <c r="T16" s="53" t="str">
        <f>HYPERLINK("#MesID312", "FR.RECI.312")</f>
        <v>FR.RECI.312</v>
      </c>
      <c r="U16" s="12"/>
      <c r="V16" s="53" t="str">
        <f>HYPERLINK("#MesID372", "HR.RECI.372")</f>
        <v>HR.RECI.372</v>
      </c>
      <c r="W16" s="53" t="str">
        <f>HYPERLINK("#MesID351", "HU.NECI.351")</f>
        <v>HU.NECI.351</v>
      </c>
      <c r="X16" s="53" t="str">
        <f>HYPERLINK("#MesID291", "IE.NECI.291")</f>
        <v>IE.NECI.291</v>
      </c>
      <c r="Y16" s="12"/>
      <c r="Z16" s="53" t="str">
        <f>HYPERLINK("#MesID286", "IT.NECI.286")</f>
        <v>IT.NECI.286</v>
      </c>
      <c r="AA16" s="12"/>
      <c r="AB16" s="53" t="str">
        <f>HYPERLINK("#MesID296", "LT.RECI.296")</f>
        <v>LT.RECI.296</v>
      </c>
      <c r="AC16" s="53" t="str">
        <f>HYPERLINK("#MesID323", "LU.RECI.323")</f>
        <v>LU.RECI.323</v>
      </c>
      <c r="AD16" s="53" t="str">
        <f>HYPERLINK("#MesID288", "LV.RECI.288")</f>
        <v>LV.RECI.288</v>
      </c>
      <c r="AE16" s="53" t="str">
        <f>HYPERLINK("#MesID289", "MT.RECI.289")</f>
        <v>MT.RECI.289</v>
      </c>
      <c r="AF16" s="53" t="str">
        <f>HYPERLINK("#MesID318", "NL.RECI.318")</f>
        <v>NL.RECI.318</v>
      </c>
      <c r="AG16" s="12"/>
      <c r="AH16" s="53" t="str">
        <f>HYPERLINK("#MesID290", "PL.NECI.290")</f>
        <v>PL.NECI.290</v>
      </c>
      <c r="AI16" s="53" t="str">
        <f>HYPERLINK("#MesID295", "PT.RECI.295")</f>
        <v>PT.RECI.295</v>
      </c>
      <c r="AJ16" s="53" t="str">
        <f>HYPERLINK("#MesID384", "RO.NECI.384")</f>
        <v>RO.NECI.384</v>
      </c>
      <c r="AK16" s="53" t="str">
        <f>HYPERLINK("#MesID334", "SE.RECI.334")</f>
        <v>SE.RECI.334</v>
      </c>
      <c r="AL16" s="53" t="str">
        <f>HYPERLINK("#MesID480", "SI.NECI.480")</f>
        <v>SI.NECI.480</v>
      </c>
      <c r="AM16" s="53" t="str">
        <f>HYPERLINK("#MesID282", "SK.RECI.282")</f>
        <v>SK.RECI.282</v>
      </c>
      <c r="AN16" s="53" t="str">
        <f>HYPERLINK("#MesID352", "UK.NECI.352")</f>
        <v>UK.NECI.352</v>
      </c>
    </row>
    <row r="17" spans="1:40" ht="26.1" customHeight="1" x14ac:dyDescent="0.25">
      <c r="A17" s="12" t="s">
        <v>3106</v>
      </c>
      <c r="B17" s="12" t="s">
        <v>106</v>
      </c>
      <c r="C17" s="12" t="s">
        <v>107</v>
      </c>
      <c r="D17" s="12" t="s">
        <v>83</v>
      </c>
      <c r="E17" s="12" t="s">
        <v>3098</v>
      </c>
      <c r="F17" s="12" t="s">
        <v>1867</v>
      </c>
      <c r="G17" s="12" t="s">
        <v>3099</v>
      </c>
      <c r="H17" s="12" t="s">
        <v>215</v>
      </c>
      <c r="I17" s="12" t="s">
        <v>3107</v>
      </c>
      <c r="J17" s="53" t="str">
        <f>HYPERLINK("#MesID466", "AT.NECI.466")</f>
        <v>AT.NECI.466</v>
      </c>
      <c r="K17" s="53" t="str">
        <f>HYPERLINK("#MesID467", "BE.RECI.467")</f>
        <v>BE.RECI.467</v>
      </c>
      <c r="L17" s="12"/>
      <c r="M17" s="53" t="str">
        <f>HYPERLINK("#MesID477", "CY.NECI.477")</f>
        <v>CY.NECI.477</v>
      </c>
      <c r="N17" s="53" t="str">
        <f>HYPERLINK("#MesID479", "CZ.NECI.479")</f>
        <v>CZ.NECI.479</v>
      </c>
      <c r="O17" s="53" t="str">
        <f>HYPERLINK("#MesID484", "DE.NECI.484")</f>
        <v>DE.NECI.484</v>
      </c>
      <c r="P17" s="53" t="str">
        <f>HYPERLINK("#MesID470", "DK.RECI.470")</f>
        <v>DK.RECI.470</v>
      </c>
      <c r="Q17" s="53" t="str">
        <f>HYPERLINK("#MesID476", "EE.NECI.476")</f>
        <v>EE.NECI.476</v>
      </c>
      <c r="R17" s="53" t="str">
        <f>HYPERLINK("#MesID469", "ES.NECI.469")</f>
        <v>ES.NECI.469</v>
      </c>
      <c r="S17" s="12"/>
      <c r="T17" s="53" t="str">
        <f>HYPERLINK("#MesID610", "FR.RECI.610")</f>
        <v>FR.RECI.610</v>
      </c>
      <c r="U17" s="53" t="str">
        <f>HYPERLINK("#MesID451", "GR.NECI.451")</f>
        <v>GR.NECI.451</v>
      </c>
      <c r="V17" s="53" t="str">
        <f>HYPERLINK("#MesID487", "HR.RECI.487")</f>
        <v>HR.RECI.487</v>
      </c>
      <c r="W17" s="53" t="str">
        <f>HYPERLINK("#MesID460", "HU.NECI.460")</f>
        <v>HU.NECI.460</v>
      </c>
      <c r="X17" s="53" t="str">
        <f>HYPERLINK("#MesID458", "IE.NECI.458")</f>
        <v>IE.NECI.458</v>
      </c>
      <c r="Y17" s="53" t="str">
        <f>HYPERLINK("#MesID833", "IS.NECI.833")</f>
        <v>IS.NECI.833</v>
      </c>
      <c r="Z17" s="53" t="str">
        <f>HYPERLINK("#MesID462", "IT.NECI.462")</f>
        <v>IT.NECI.462</v>
      </c>
      <c r="AA17" s="53" t="str">
        <f>HYPERLINK("#MesID826", "LI.NECI.826")</f>
        <v>LI.NECI.826</v>
      </c>
      <c r="AB17" s="53" t="str">
        <f>HYPERLINK("#MesID481", "LT.RECI.481")</f>
        <v>LT.RECI.481</v>
      </c>
      <c r="AC17" s="53" t="str">
        <f>HYPERLINK("#MesID468", "LU.NECI.468")</f>
        <v>LU.NECI.468</v>
      </c>
      <c r="AD17" s="53" t="str">
        <f>HYPERLINK("#MesID679", "LV.NECI.679")</f>
        <v>LV.NECI.679</v>
      </c>
      <c r="AE17" s="53" t="str">
        <f>HYPERLINK("#MesID715", "MT.NECI.715")</f>
        <v>MT.NECI.715</v>
      </c>
      <c r="AF17" s="53" t="str">
        <f>HYPERLINK("#MesID478", "NL.NECI.478")</f>
        <v>NL.NECI.478</v>
      </c>
      <c r="AG17" s="53" t="str">
        <f>HYPERLINK("#MesID488", "NO.RECI.488")</f>
        <v>NO.RECI.488</v>
      </c>
      <c r="AH17" s="53" t="str">
        <f>HYPERLINK("#MesID464", "PL.NECI.464")</f>
        <v>PL.NECI.464</v>
      </c>
      <c r="AI17" s="53" t="str">
        <f>HYPERLINK("#MesID471", "PT.RECI.471")</f>
        <v>PT.RECI.471</v>
      </c>
      <c r="AJ17" s="53" t="str">
        <f>HYPERLINK("#MesID510", "RO.NECI.510")</f>
        <v>RO.NECI.510</v>
      </c>
      <c r="AK17" s="53" t="str">
        <f>HYPERLINK("#MesID450", "SE.RECI.450")</f>
        <v>SE.RECI.450</v>
      </c>
      <c r="AL17" s="53" t="str">
        <f>HYPERLINK("#MesID475", "SI.NECI.475")</f>
        <v>SI.NECI.475</v>
      </c>
      <c r="AM17" s="53" t="str">
        <f>HYPERLINK("#MesID459", "SK.NECI.459")</f>
        <v>SK.NECI.459</v>
      </c>
      <c r="AN17" s="12"/>
    </row>
    <row r="18" spans="1:40" ht="26.1" customHeight="1" x14ac:dyDescent="0.25">
      <c r="A18" s="12" t="s">
        <v>3108</v>
      </c>
      <c r="B18" s="12" t="s">
        <v>109</v>
      </c>
      <c r="C18" s="12" t="s">
        <v>110</v>
      </c>
      <c r="D18" s="12" t="s">
        <v>55</v>
      </c>
      <c r="E18" s="12" t="s">
        <v>3109</v>
      </c>
      <c r="F18" s="12" t="s">
        <v>1867</v>
      </c>
      <c r="G18" s="12" t="s">
        <v>3099</v>
      </c>
      <c r="H18" s="12" t="s">
        <v>215</v>
      </c>
      <c r="I18" s="12" t="s">
        <v>3110</v>
      </c>
      <c r="J18" s="53" t="str">
        <f>HYPERLINK("#MesID624", "AT.NECI.624")</f>
        <v>AT.NECI.624</v>
      </c>
      <c r="K18" s="53" t="str">
        <f>HYPERLINK("#MesID1023", "BE.RECI.1023")</f>
        <v>BE.RECI.1023</v>
      </c>
      <c r="L18" s="53" t="str">
        <f>HYPERLINK("#MesID1212", "BG.NECI.1212")</f>
        <v>BG.NECI.1212</v>
      </c>
      <c r="M18" s="53" t="str">
        <f>HYPERLINK("#MesID669", "CY.NECI.669")</f>
        <v>CY.NECI.669</v>
      </c>
      <c r="N18" s="53" t="str">
        <f>HYPERLINK("#MesID621", "CZ.NECI.621")</f>
        <v>CZ.NECI.621</v>
      </c>
      <c r="O18" s="53" t="str">
        <f>HYPERLINK("#MesID703", "DE.NECI.703")</f>
        <v>DE.NECI.703</v>
      </c>
      <c r="P18" s="53" t="str">
        <f>HYPERLINK("#MesID639", "DK.RECI.639")</f>
        <v>DK.RECI.639</v>
      </c>
      <c r="Q18" s="53" t="str">
        <f>HYPERLINK("#MesID637", "EE.NECI.637")</f>
        <v>EE.NECI.637</v>
      </c>
      <c r="R18" s="53" t="str">
        <f>HYPERLINK("#MesID1036", "ES.NECI.1036")</f>
        <v>ES.NECI.1036</v>
      </c>
      <c r="S18" s="53" t="str">
        <f>HYPERLINK("#MesID684", "FI.NECI.684")</f>
        <v>FI.NECI.684</v>
      </c>
      <c r="T18" s="12"/>
      <c r="U18" s="53" t="str">
        <f>HYPERLINK("#MesID1020", "GR.NECI.1020")</f>
        <v>GR.NECI.1020</v>
      </c>
      <c r="V18" s="53" t="str">
        <f>HYPERLINK("#MesID700", "HR.NECI.700")</f>
        <v>HR.NECI.700</v>
      </c>
      <c r="W18" s="53" t="str">
        <f>HYPERLINK("#MesID657", "HU.NECI.657")</f>
        <v>HU.NECI.657</v>
      </c>
      <c r="X18" s="53" t="str">
        <f>HYPERLINK("#MesID1077", "IE.RECI.1077")</f>
        <v>IE.RECI.1077</v>
      </c>
      <c r="Y18" s="53" t="str">
        <f>HYPERLINK("#MesID834", "IS.NECI.834")</f>
        <v>IS.NECI.834</v>
      </c>
      <c r="Z18" s="53" t="str">
        <f>HYPERLINK("#MesID1082", "IT.NECI.1082")</f>
        <v>IT.NECI.1082</v>
      </c>
      <c r="AA18" s="53" t="str">
        <f>HYPERLINK("#MesID951", "LI.NECI.951")</f>
        <v>LI.NECI.951</v>
      </c>
      <c r="AB18" s="53" t="str">
        <f>HYPERLINK("#MesID1260", "LT.RECI.1260")</f>
        <v>LT.RECI.1260</v>
      </c>
      <c r="AC18" s="53" t="str">
        <f>HYPERLINK("#MesID661", "LU.NECI.661")</f>
        <v>LU.NECI.661</v>
      </c>
      <c r="AD18" s="53" t="str">
        <f>HYPERLINK("#MesID1030", "LV.NECI.1030")</f>
        <v>LV.NECI.1030</v>
      </c>
      <c r="AE18" s="53" t="str">
        <f>HYPERLINK("#MesID777", "MT.NECI.777")</f>
        <v>MT.NECI.777</v>
      </c>
      <c r="AF18" s="53" t="str">
        <f>HYPERLINK("#MesID1258", "NL.NECI.1258")</f>
        <v>NL.NECI.1258</v>
      </c>
      <c r="AG18" s="53" t="str">
        <f>HYPERLINK("#MesID663", "NO.RECI.663")</f>
        <v>NO.RECI.663</v>
      </c>
      <c r="AH18" s="53" t="str">
        <f>HYPERLINK("#MesID1080", "PL.NECI.1080")</f>
        <v>PL.NECI.1080</v>
      </c>
      <c r="AI18" s="53" t="str">
        <f>HYPERLINK("#MesID653", "PT.NECI.653")</f>
        <v>PT.NECI.653</v>
      </c>
      <c r="AJ18" s="53" t="str">
        <f>HYPERLINK("#MesID680", "RO.NECI.680")</f>
        <v>RO.NECI.680</v>
      </c>
      <c r="AK18" s="53" t="str">
        <f>HYPERLINK("#MesID688", "SE.RECI.688")</f>
        <v>SE.RECI.688</v>
      </c>
      <c r="AL18" s="53" t="str">
        <f>HYPERLINK("#MesID1005", "SI.NECI.1005")</f>
        <v>SI.NECI.1005</v>
      </c>
      <c r="AM18" s="53" t="str">
        <f>HYPERLINK("#MesID671", "SK.NECI.671")</f>
        <v>SK.NECI.671</v>
      </c>
      <c r="AN18" s="53" t="str">
        <f>HYPERLINK("#MesID697", "UK.RECI.697")</f>
        <v>UK.RECI.697</v>
      </c>
    </row>
    <row r="19" spans="1:40" ht="26.1" customHeight="1" x14ac:dyDescent="0.25">
      <c r="A19" s="12" t="s">
        <v>1208</v>
      </c>
      <c r="B19" s="12" t="s">
        <v>109</v>
      </c>
      <c r="C19" s="12" t="s">
        <v>110</v>
      </c>
      <c r="D19" s="12" t="s">
        <v>220</v>
      </c>
      <c r="E19" s="12" t="s">
        <v>3105</v>
      </c>
      <c r="F19" s="12" t="s">
        <v>915</v>
      </c>
      <c r="G19" s="12" t="s">
        <v>3102</v>
      </c>
      <c r="H19" s="12" t="s">
        <v>60</v>
      </c>
      <c r="I19" s="12"/>
      <c r="J19" s="12"/>
      <c r="K19" s="12"/>
      <c r="L19" s="12"/>
      <c r="M19" s="12"/>
      <c r="N19" s="12"/>
      <c r="O19" s="12"/>
      <c r="P19" s="12"/>
      <c r="Q19" s="12"/>
      <c r="R19" s="12"/>
      <c r="S19" s="12"/>
      <c r="T19" s="12"/>
      <c r="U19" s="12"/>
      <c r="V19" s="12"/>
      <c r="W19" s="12"/>
      <c r="X19" s="12"/>
      <c r="Y19" s="12"/>
      <c r="Z19" s="12"/>
      <c r="AA19" s="53" t="str">
        <f>HYPERLINK("#MesID1366", "LI.NECI.1366")</f>
        <v>LI.NECI.1366</v>
      </c>
      <c r="AB19" s="12"/>
      <c r="AC19" s="12"/>
      <c r="AD19" s="12"/>
      <c r="AE19" s="12"/>
      <c r="AF19" s="12"/>
      <c r="AG19" s="12"/>
      <c r="AH19" s="12"/>
      <c r="AI19" s="12"/>
      <c r="AJ19" s="12"/>
      <c r="AK19" s="12"/>
      <c r="AL19" s="12"/>
      <c r="AM19" s="12"/>
      <c r="AN19" s="12"/>
    </row>
    <row r="20" spans="1:40" ht="26.1" customHeight="1" x14ac:dyDescent="0.25">
      <c r="A20" s="12" t="s">
        <v>1249</v>
      </c>
      <c r="B20" s="12" t="s">
        <v>132</v>
      </c>
      <c r="C20" s="12" t="s">
        <v>133</v>
      </c>
      <c r="D20" s="12" t="s">
        <v>252</v>
      </c>
      <c r="E20" s="12" t="s">
        <v>3105</v>
      </c>
      <c r="F20" s="12" t="s">
        <v>915</v>
      </c>
      <c r="G20" s="12" t="s">
        <v>3099</v>
      </c>
      <c r="H20" s="12" t="s">
        <v>215</v>
      </c>
      <c r="I20" s="12"/>
      <c r="J20" s="12"/>
      <c r="K20" s="53" t="str">
        <f>HYPERLINK("#MesID1631", "BE.RECI.1631")</f>
        <v>BE.RECI.1631</v>
      </c>
      <c r="L20" s="12"/>
      <c r="M20" s="12"/>
      <c r="N20" s="53" t="str">
        <f>HYPERLINK("#MesID1623", "CZ.NECI.1623")</f>
        <v>CZ.NECI.1623</v>
      </c>
      <c r="O20" s="12"/>
      <c r="P20" s="12"/>
      <c r="Q20" s="53" t="str">
        <f>HYPERLINK("#MesID1615", "EE.NECI.1615")</f>
        <v>EE.NECI.1615</v>
      </c>
      <c r="R20" s="53" t="str">
        <f>HYPERLINK("#MesID1618", "ES.RECI.1618")</f>
        <v>ES.RECI.1618</v>
      </c>
      <c r="S20" s="12"/>
      <c r="T20" s="53" t="str">
        <f>HYPERLINK("#MesID1646", "FR.RECI.1646")</f>
        <v>FR.RECI.1646</v>
      </c>
      <c r="U20" s="53" t="str">
        <f>HYPERLINK("#MesID1632", "GR.NECI.1632")</f>
        <v>GR.NECI.1632</v>
      </c>
      <c r="V20" s="53" t="str">
        <f>HYPERLINK("#MesID1647", "HR.NECI.1647")</f>
        <v>HR.NECI.1647</v>
      </c>
      <c r="W20" s="53" t="str">
        <f>HYPERLINK("#MesID1627", "HU.NECI.1627")</f>
        <v>HU.NECI.1627</v>
      </c>
      <c r="X20" s="53" t="str">
        <f>HYPERLINK("#MesID1598", "IE.NECI.1598")</f>
        <v>IE.NECI.1598</v>
      </c>
      <c r="Y20" s="53" t="str">
        <f>HYPERLINK("#MesID1630", "IS.NECI.1630")</f>
        <v>IS.NECI.1630</v>
      </c>
      <c r="Z20" s="12"/>
      <c r="AA20" s="53" t="str">
        <f>HYPERLINK("#MesID1546", "LI.NECI.1546")</f>
        <v>LI.NECI.1546</v>
      </c>
      <c r="AB20" s="53" t="str">
        <f>HYPERLINK("#MesID1643", "LT.RECI.1643")</f>
        <v>LT.RECI.1643</v>
      </c>
      <c r="AC20" s="53" t="str">
        <f>HYPERLINK("#MesID1698", "LU.NECI.1698")</f>
        <v>LU.NECI.1698</v>
      </c>
      <c r="AD20" s="53" t="str">
        <f>HYPERLINK("#MesID1603", "LV.NECI.1603")</f>
        <v>LV.NECI.1603</v>
      </c>
      <c r="AE20" s="53" t="str">
        <f>HYPERLINK("#MesID1588", "MT.NECI.1588")</f>
        <v>MT.NECI.1588</v>
      </c>
      <c r="AF20" s="53" t="str">
        <f>HYPERLINK("#MesID1599", "NL.NECI.1599")</f>
        <v>NL.NECI.1599</v>
      </c>
      <c r="AG20" s="12"/>
      <c r="AH20" s="53" t="str">
        <f>HYPERLINK("#MesID1609", "PL.NECI.1609")</f>
        <v>PL.NECI.1609</v>
      </c>
      <c r="AI20" s="12"/>
      <c r="AJ20" s="12"/>
      <c r="AK20" s="53" t="str">
        <f>HYPERLINK("#MesID1571", "SE.NECI.1571")</f>
        <v>SE.NECI.1571</v>
      </c>
      <c r="AL20" s="12"/>
      <c r="AM20" s="12"/>
      <c r="AN20" s="12"/>
    </row>
    <row r="21" spans="1:40" ht="26.1" customHeight="1" x14ac:dyDescent="0.25">
      <c r="A21" s="12" t="s">
        <v>1267</v>
      </c>
      <c r="B21" s="12" t="s">
        <v>147</v>
      </c>
      <c r="C21" s="12" t="s">
        <v>148</v>
      </c>
      <c r="D21" s="12" t="s">
        <v>228</v>
      </c>
      <c r="E21" s="12" t="s">
        <v>3105</v>
      </c>
      <c r="F21" s="12" t="s">
        <v>915</v>
      </c>
      <c r="G21" s="12" t="s">
        <v>3102</v>
      </c>
      <c r="H21" s="12" t="s">
        <v>215</v>
      </c>
      <c r="I21" s="12" t="s">
        <v>1270</v>
      </c>
      <c r="J21" s="12"/>
      <c r="K21" s="53" t="str">
        <f>HYPERLINK("#MesID1214", "BE.RECI.1214")</f>
        <v>BE.RECI.1214</v>
      </c>
      <c r="L21" s="53" t="str">
        <f>HYPERLINK("#MesID1169", "BG.NECI.1169")</f>
        <v>BG.NECI.1169</v>
      </c>
      <c r="M21" s="53" t="str">
        <f>HYPERLINK("#MesID1131", "CY.NECI.1131")</f>
        <v>CY.NECI.1131</v>
      </c>
      <c r="N21" s="53" t="str">
        <f>HYPERLINK("#MesID1197", "CZ.NECI.1197")</f>
        <v>CZ.NECI.1197</v>
      </c>
      <c r="O21" s="53" t="str">
        <f>HYPERLINK("#MesID1176", "DE.NECI.1176")</f>
        <v>DE.NECI.1176</v>
      </c>
      <c r="P21" s="12"/>
      <c r="Q21" s="12"/>
      <c r="R21" s="53" t="str">
        <f>HYPERLINK("#MesID1213", "ES.NECI.1213")</f>
        <v>ES.NECI.1213</v>
      </c>
      <c r="S21" s="12"/>
      <c r="T21" s="53" t="str">
        <f>HYPERLINK("#MesID1236", "FR.RECI.1236")</f>
        <v>FR.RECI.1236</v>
      </c>
      <c r="U21" s="53" t="str">
        <f>HYPERLINK("#MesID1188", "GR.NECI.1188")</f>
        <v>GR.NECI.1188</v>
      </c>
      <c r="V21" s="53" t="str">
        <f>HYPERLINK("#MesID1158", "HR.NECI.1158")</f>
        <v>HR.NECI.1158</v>
      </c>
      <c r="W21" s="53" t="str">
        <f>HYPERLINK("#MesID1308", "HU.NECI.1308")</f>
        <v>HU.NECI.1308</v>
      </c>
      <c r="X21" s="53" t="str">
        <f>HYPERLINK("#MesID1314", "IE.NECI.1314")</f>
        <v>IE.NECI.1314</v>
      </c>
      <c r="Y21" s="53" t="str">
        <f>HYPERLINK("#MesID1102", "IS.NECI.1102")</f>
        <v>IS.NECI.1102</v>
      </c>
      <c r="Z21" s="53" t="str">
        <f>HYPERLINK("#MesID1159", "IT.NECI.1159")</f>
        <v>IT.NECI.1159</v>
      </c>
      <c r="AA21" s="53" t="str">
        <f>HYPERLINK("#MesID1333", "LI.NECI.1333")</f>
        <v>LI.NECI.1333</v>
      </c>
      <c r="AB21" s="12"/>
      <c r="AC21" s="53" t="str">
        <f>HYPERLINK("#MesID1186", "LU.NECI.1186")</f>
        <v>LU.NECI.1186</v>
      </c>
      <c r="AD21" s="12"/>
      <c r="AE21" s="12"/>
      <c r="AF21" s="53" t="str">
        <f>HYPERLINK("#MesID1263", "NL.NECI.1263")</f>
        <v>NL.NECI.1263</v>
      </c>
      <c r="AG21" s="53" t="str">
        <f>HYPERLINK("#MesID1343", "NO.RECI.1343")</f>
        <v>NO.RECI.1343</v>
      </c>
      <c r="AH21" s="53" t="str">
        <f>HYPERLINK("#MesID1117", "PL.NECI.1117")</f>
        <v>PL.NECI.1117</v>
      </c>
      <c r="AI21" s="53" t="str">
        <f>HYPERLINK("#MesID1147", "PT.NECI.1147")</f>
        <v>PT.NECI.1147</v>
      </c>
      <c r="AJ21" s="53" t="str">
        <f>HYPERLINK("#MesID1097", "RO.NECI.1097")</f>
        <v>RO.NECI.1097</v>
      </c>
      <c r="AK21" s="53" t="str">
        <f>HYPERLINK("#MesID1157", "SE.RECI.1157")</f>
        <v>SE.RECI.1157</v>
      </c>
      <c r="AL21" s="53" t="str">
        <f>HYPERLINK("#MesID1109", "SI.NECI.1109")</f>
        <v>SI.NECI.1109</v>
      </c>
      <c r="AM21" s="12"/>
      <c r="AN21" s="12"/>
    </row>
    <row r="22" spans="1:40" ht="45" x14ac:dyDescent="0.25">
      <c r="A22" s="12" t="s">
        <v>1641</v>
      </c>
      <c r="B22" s="12" t="s">
        <v>150</v>
      </c>
      <c r="C22" s="12" t="s">
        <v>151</v>
      </c>
      <c r="D22" s="12" t="s">
        <v>232</v>
      </c>
      <c r="E22" s="12" t="s">
        <v>19</v>
      </c>
      <c r="F22" s="12" t="s">
        <v>1381</v>
      </c>
      <c r="G22" s="12" t="s">
        <v>3102</v>
      </c>
      <c r="H22" s="12" t="s">
        <v>215</v>
      </c>
      <c r="I22" s="12" t="s">
        <v>1644</v>
      </c>
      <c r="J22" s="12"/>
      <c r="K22" s="53" t="str">
        <f>HYPERLINK("#MesID938", "BE.RECI.938")</f>
        <v>BE.RECI.938</v>
      </c>
      <c r="L22" s="53" t="str">
        <f>HYPERLINK("#MesID1170", "BG.NECI.1170")</f>
        <v>BG.NECI.1170</v>
      </c>
      <c r="M22" s="53" t="str">
        <f>HYPERLINK("#MesID1018", "CY.NECI.1018")</f>
        <v>CY.NECI.1018</v>
      </c>
      <c r="N22" s="53" t="str">
        <f>HYPERLINK("#MesID972", "CZ.NECI.972")</f>
        <v>CZ.NECI.972</v>
      </c>
      <c r="O22" s="53" t="str">
        <f>HYPERLINK("#MesID1027", "DE.RECI.1027")</f>
        <v>DE.RECI.1027</v>
      </c>
      <c r="P22" s="53" t="str">
        <f>HYPERLINK("#MesID933", "DK.NECI.933")</f>
        <v>DK.NECI.933</v>
      </c>
      <c r="Q22" s="53" t="str">
        <f>HYPERLINK("#MesID995", "EE.NECI.995")</f>
        <v>EE.NECI.995</v>
      </c>
      <c r="R22" s="53" t="str">
        <f>HYPERLINK("#MesID977", "ES.NECI.977")</f>
        <v>ES.NECI.977</v>
      </c>
      <c r="S22" s="12"/>
      <c r="T22" s="53" t="str">
        <f>HYPERLINK("#MesID962", "FR.RECI.962")</f>
        <v>FR.RECI.962</v>
      </c>
      <c r="U22" s="53" t="str">
        <f>HYPERLINK("#MesID947", "GR.NECI.947")</f>
        <v>GR.NECI.947</v>
      </c>
      <c r="V22" s="53" t="str">
        <f>HYPERLINK("#MesID966", "HR.NECI.966")</f>
        <v>HR.NECI.966</v>
      </c>
      <c r="W22" s="53" t="str">
        <f>HYPERLINK("#MesID1098", "HU.NECI.1098")</f>
        <v>HU.NECI.1098</v>
      </c>
      <c r="X22" s="53" t="str">
        <f>HYPERLINK("#MesID999", "IE.NECI.999")</f>
        <v>IE.NECI.999</v>
      </c>
      <c r="Y22" s="53" t="str">
        <f>HYPERLINK("#MesID987", "IS.NECI.987")</f>
        <v>IS.NECI.987</v>
      </c>
      <c r="Z22" s="53" t="str">
        <f>HYPERLINK("#MesID976", "IT.NECI.976")</f>
        <v>IT.NECI.976</v>
      </c>
      <c r="AA22" s="53" t="str">
        <f>HYPERLINK("#MesID1336", "LI.NECI.1336")</f>
        <v>LI.NECI.1336</v>
      </c>
      <c r="AB22" s="53" t="str">
        <f>HYPERLINK("#MesID1264", "LT.RECI.1264")</f>
        <v>LT.RECI.1264</v>
      </c>
      <c r="AC22" s="12"/>
      <c r="AD22" s="53" t="str">
        <f>HYPERLINK("#MesID1033", "LV.NECI.1033")</f>
        <v>LV.NECI.1033</v>
      </c>
      <c r="AE22" s="53" t="str">
        <f>HYPERLINK("#MesID958", "MT.NECI.958")</f>
        <v>MT.NECI.958</v>
      </c>
      <c r="AF22" s="53" t="str">
        <f>HYPERLINK("#MesID943", "NL.NECI.943")</f>
        <v>NL.NECI.943</v>
      </c>
      <c r="AG22" s="53" t="str">
        <f>HYPERLINK("#MesID1035", "NO.RECI.1035")</f>
        <v>NO.RECI.1035</v>
      </c>
      <c r="AH22" s="53" t="str">
        <f>HYPERLINK("#MesID1026", "PL.NECI.1026")</f>
        <v>PL.NECI.1026</v>
      </c>
      <c r="AI22" s="53" t="str">
        <f>HYPERLINK("#MesID1012", "PT.RECI.1012")</f>
        <v>PT.RECI.1012</v>
      </c>
      <c r="AJ22" s="53" t="str">
        <f>HYPERLINK("#MesID934", "RO.NECI.934")</f>
        <v>RO.NECI.934</v>
      </c>
      <c r="AK22" s="53" t="str">
        <f>HYPERLINK("#MesID1529", "SE.NECI.1529")</f>
        <v>SE.NECI.1529</v>
      </c>
      <c r="AL22" s="53" t="str">
        <f>HYPERLINK("#MesID932", "SI.NECI.932")</f>
        <v>SI.NECI.932</v>
      </c>
      <c r="AM22" s="12"/>
      <c r="AN22" s="12"/>
    </row>
    <row r="23" spans="1:40" ht="26.1" customHeight="1" x14ac:dyDescent="0.25">
      <c r="A23" s="12" t="s">
        <v>3111</v>
      </c>
      <c r="B23" s="12" t="s">
        <v>163</v>
      </c>
      <c r="C23" s="12" t="s">
        <v>164</v>
      </c>
      <c r="D23" s="12" t="s">
        <v>232</v>
      </c>
      <c r="E23" s="12" t="s">
        <v>3098</v>
      </c>
      <c r="F23" s="12" t="s">
        <v>1867</v>
      </c>
      <c r="G23" s="12" t="s">
        <v>3099</v>
      </c>
      <c r="H23" s="12" t="s">
        <v>215</v>
      </c>
      <c r="I23" s="12"/>
      <c r="J23" s="12"/>
      <c r="K23" s="53" t="str">
        <f>HYPERLINK("#MesID1116", "BE.RECI.1116")</f>
        <v>BE.RECI.1116</v>
      </c>
      <c r="L23" s="12"/>
      <c r="M23" s="53" t="str">
        <f>HYPERLINK("#MesID1132", "CY.NECI.1132")</f>
        <v>CY.NECI.1132</v>
      </c>
      <c r="N23" s="53" t="str">
        <f>HYPERLINK("#MesID1179", "CZ.NECI.1179")</f>
        <v>CZ.NECI.1179</v>
      </c>
      <c r="O23" s="12"/>
      <c r="P23" s="12"/>
      <c r="Q23" s="12"/>
      <c r="R23" s="12"/>
      <c r="S23" s="12"/>
      <c r="T23" s="12"/>
      <c r="U23" s="53" t="str">
        <f>HYPERLINK("#MesID1180", "GR.NECI.1180")</f>
        <v>GR.NECI.1180</v>
      </c>
      <c r="V23" s="12"/>
      <c r="W23" s="12"/>
      <c r="X23" s="53" t="str">
        <f>HYPERLINK("#MesID1113", "IE.NECI.1113")</f>
        <v>IE.NECI.1113</v>
      </c>
      <c r="Y23" s="53" t="str">
        <f>HYPERLINK("#MesID1103", "IS.NECI.1103")</f>
        <v>IS.NECI.1103</v>
      </c>
      <c r="Z23" s="53" t="str">
        <f>HYPERLINK("#MesID1206", "IT.NECI.1206")</f>
        <v>IT.NECI.1206</v>
      </c>
      <c r="AA23" s="12"/>
      <c r="AB23" s="12"/>
      <c r="AC23" s="12"/>
      <c r="AD23" s="12"/>
      <c r="AE23" s="12"/>
      <c r="AF23" s="12"/>
      <c r="AG23" s="12"/>
      <c r="AH23" s="53" t="str">
        <f>HYPERLINK("#MesID1118", "PL.NECI.1118")</f>
        <v>PL.NECI.1118</v>
      </c>
      <c r="AI23" s="53" t="str">
        <f>HYPERLINK("#MesID1183", "PT.NECI.1183")</f>
        <v>PT.NECI.1183</v>
      </c>
      <c r="AJ23" s="53" t="str">
        <f>HYPERLINK("#MesID1095", "RO.NECI.1095")</f>
        <v>RO.NECI.1095</v>
      </c>
      <c r="AK23" s="12"/>
      <c r="AL23" s="53" t="str">
        <f>HYPERLINK("#MesID1110", "SI.NECI.1110")</f>
        <v>SI.NECI.1110</v>
      </c>
      <c r="AM23" s="12"/>
      <c r="AN23" s="12"/>
    </row>
    <row r="24" spans="1:40" ht="45" x14ac:dyDescent="0.25">
      <c r="A24" s="12" t="s">
        <v>3112</v>
      </c>
      <c r="B24" s="12" t="s">
        <v>163</v>
      </c>
      <c r="C24" s="12" t="s">
        <v>164</v>
      </c>
      <c r="D24" s="12" t="s">
        <v>224</v>
      </c>
      <c r="E24" s="12" t="s">
        <v>3098</v>
      </c>
      <c r="F24" s="12" t="s">
        <v>1867</v>
      </c>
      <c r="G24" s="12" t="s">
        <v>3102</v>
      </c>
      <c r="H24" s="12" t="s">
        <v>215</v>
      </c>
      <c r="I24" s="12" t="s">
        <v>1270</v>
      </c>
      <c r="J24" s="12"/>
      <c r="K24" s="12"/>
      <c r="L24" s="53" t="str">
        <f>HYPERLINK("#MesID1171", "BG.NECI.1171")</f>
        <v>BG.NECI.1171</v>
      </c>
      <c r="M24" s="12"/>
      <c r="N24" s="12"/>
      <c r="O24" s="53" t="str">
        <f>HYPERLINK("#MesID1222", "DE.RECI.1222")</f>
        <v>DE.RECI.1222</v>
      </c>
      <c r="P24" s="12"/>
      <c r="Q24" s="12"/>
      <c r="R24" s="53" t="str">
        <f>HYPERLINK("#MesID1112", "ES.NECI.1112")</f>
        <v>ES.NECI.1112</v>
      </c>
      <c r="S24" s="12"/>
      <c r="T24" s="53" t="str">
        <f>HYPERLINK("#MesID1237", "FR.RECI.1237")</f>
        <v>FR.RECI.1237</v>
      </c>
      <c r="U24" s="12"/>
      <c r="V24" s="12"/>
      <c r="W24" s="53" t="str">
        <f>HYPERLINK("#MesID1307", "HU.NECI.1307")</f>
        <v>HU.NECI.1307</v>
      </c>
      <c r="X24" s="12"/>
      <c r="Y24" s="12"/>
      <c r="Z24" s="12"/>
      <c r="AA24" s="53" t="str">
        <f>HYPERLINK("#MesID1362", "LI.NECI.1362")</f>
        <v>LI.NECI.1362</v>
      </c>
      <c r="AB24" s="53" t="str">
        <f>HYPERLINK("#MesID1259", "LT.RECI.1259")</f>
        <v>LT.RECI.1259</v>
      </c>
      <c r="AC24" s="53" t="str">
        <f>HYPERLINK("#MesID1205", "LU.NECI.1205")</f>
        <v>LU.NECI.1205</v>
      </c>
      <c r="AD24" s="53" t="str">
        <f>HYPERLINK("#MesID1242", "LV.NECI.1242")</f>
        <v>LV.NECI.1242</v>
      </c>
      <c r="AE24" s="12"/>
      <c r="AF24" s="12"/>
      <c r="AG24" s="53" t="str">
        <f>HYPERLINK("#MesID1351", "NO.RECI.1351")</f>
        <v>NO.RECI.1351</v>
      </c>
      <c r="AH24" s="12"/>
      <c r="AI24" s="12"/>
      <c r="AJ24" s="12"/>
      <c r="AK24" s="12"/>
      <c r="AL24" s="12"/>
      <c r="AM24" s="12"/>
      <c r="AN24" s="12"/>
    </row>
    <row r="25" spans="1:40" ht="45" x14ac:dyDescent="0.25">
      <c r="A25" s="12" t="s">
        <v>3113</v>
      </c>
      <c r="B25" s="12" t="s">
        <v>166</v>
      </c>
      <c r="C25" s="12" t="s">
        <v>167</v>
      </c>
      <c r="D25" s="12" t="s">
        <v>224</v>
      </c>
      <c r="E25" s="12" t="s">
        <v>3098</v>
      </c>
      <c r="F25" s="12" t="s">
        <v>1867</v>
      </c>
      <c r="G25" s="12" t="s">
        <v>3099</v>
      </c>
      <c r="H25" s="12" t="s">
        <v>215</v>
      </c>
      <c r="I25" s="12" t="s">
        <v>1292</v>
      </c>
      <c r="J25" s="12"/>
      <c r="K25" s="12"/>
      <c r="L25" s="53" t="str">
        <f>HYPERLINK("#MesID1554", "BG.NECI.1554")</f>
        <v>BG.NECI.1554</v>
      </c>
      <c r="M25" s="53" t="str">
        <f>HYPERLINK("#MesID1481", "CY.NECI.1481")</f>
        <v>CY.NECI.1481</v>
      </c>
      <c r="N25" s="53" t="str">
        <f>HYPERLINK("#MesID1376", "CZ.NECI.1376")</f>
        <v>CZ.NECI.1376</v>
      </c>
      <c r="O25" s="12"/>
      <c r="P25" s="12"/>
      <c r="Q25" s="12"/>
      <c r="R25" s="53" t="str">
        <f>HYPERLINK("#MesID1346", "ES.NECI.1346")</f>
        <v>ES.NECI.1346</v>
      </c>
      <c r="S25" s="53" t="str">
        <f>HYPERLINK("#MesID1305", "FI.RECI.1305")</f>
        <v>FI.RECI.1305</v>
      </c>
      <c r="T25" s="12"/>
      <c r="U25" s="12"/>
      <c r="V25" s="12"/>
      <c r="W25" s="53" t="str">
        <f>HYPERLINK("#MesID1577", "HU.NECI.1577")</f>
        <v>HU.NECI.1577</v>
      </c>
      <c r="X25" s="12"/>
      <c r="Y25" s="12"/>
      <c r="Z25" s="12"/>
      <c r="AA25" s="53" t="str">
        <f>HYPERLINK("#MesID1344", "LI.NECI.1344")</f>
        <v>LI.NECI.1344</v>
      </c>
      <c r="AB25" s="12"/>
      <c r="AC25" s="12"/>
      <c r="AD25" s="12"/>
      <c r="AE25" s="12"/>
      <c r="AF25" s="12"/>
      <c r="AG25" s="12"/>
      <c r="AH25" s="12"/>
      <c r="AI25" s="12"/>
      <c r="AJ25" s="53" t="str">
        <f>HYPERLINK("#MesID1327", "RO.NECI.1327")</f>
        <v>RO.NECI.1327</v>
      </c>
      <c r="AK25" s="53" t="str">
        <f>HYPERLINK("#MesID1312", "SE.RECI.1312")</f>
        <v>SE.RECI.1312</v>
      </c>
      <c r="AL25" s="12"/>
      <c r="AM25" s="12"/>
      <c r="AN25" s="12"/>
    </row>
    <row r="26" spans="1:40" ht="45" x14ac:dyDescent="0.25">
      <c r="A26" s="12" t="s">
        <v>3114</v>
      </c>
      <c r="B26" s="12" t="s">
        <v>166</v>
      </c>
      <c r="C26" s="12" t="s">
        <v>167</v>
      </c>
      <c r="D26" s="12" t="s">
        <v>224</v>
      </c>
      <c r="E26" s="12" t="s">
        <v>3098</v>
      </c>
      <c r="F26" s="12" t="s">
        <v>1867</v>
      </c>
      <c r="G26" s="12" t="s">
        <v>3099</v>
      </c>
      <c r="H26" s="12" t="s">
        <v>215</v>
      </c>
      <c r="I26" s="12" t="s">
        <v>1292</v>
      </c>
      <c r="J26" s="12"/>
      <c r="K26" s="12"/>
      <c r="L26" s="53" t="str">
        <f>HYPERLINK("#MesID1553", "BG.NECI.1553")</f>
        <v>BG.NECI.1553</v>
      </c>
      <c r="M26" s="53" t="str">
        <f>HYPERLINK("#MesID1482", "CY.NECI.1482")</f>
        <v>CY.NECI.1482</v>
      </c>
      <c r="N26" s="53" t="str">
        <f>HYPERLINK("#MesID1375", "CZ.NECI.1375")</f>
        <v>CZ.NECI.1375</v>
      </c>
      <c r="O26" s="12"/>
      <c r="P26" s="12"/>
      <c r="Q26" s="12"/>
      <c r="R26" s="53" t="str">
        <f>HYPERLINK("#MesID1347", "ES.NECI.1347")</f>
        <v>ES.NECI.1347</v>
      </c>
      <c r="S26" s="53" t="str">
        <f>HYPERLINK("#MesID1417", "FI.RECI.1417")</f>
        <v>FI.RECI.1417</v>
      </c>
      <c r="T26" s="12"/>
      <c r="U26" s="12"/>
      <c r="V26" s="12"/>
      <c r="W26" s="53" t="str">
        <f>HYPERLINK("#MesID1578", "HU.NECI.1578")</f>
        <v>HU.NECI.1578</v>
      </c>
      <c r="X26" s="12"/>
      <c r="Y26" s="12"/>
      <c r="Z26" s="12"/>
      <c r="AA26" s="53" t="str">
        <f>HYPERLINK("#MesID1345", "LI.NECI.1345")</f>
        <v>LI.NECI.1345</v>
      </c>
      <c r="AB26" s="12"/>
      <c r="AC26" s="12"/>
      <c r="AD26" s="12"/>
      <c r="AE26" s="12"/>
      <c r="AF26" s="12"/>
      <c r="AG26" s="12"/>
      <c r="AH26" s="12"/>
      <c r="AI26" s="12"/>
      <c r="AJ26" s="53" t="str">
        <f>HYPERLINK("#MesID1326", "RO.NECI.1326")</f>
        <v>RO.NECI.1326</v>
      </c>
      <c r="AK26" s="53" t="str">
        <f>HYPERLINK("#MesID1313", "SE.RECI.1313")</f>
        <v>SE.RECI.1313</v>
      </c>
      <c r="AL26" s="12"/>
      <c r="AM26" s="12"/>
      <c r="AN26" s="12"/>
    </row>
    <row r="27" spans="1:40" ht="45" x14ac:dyDescent="0.25">
      <c r="A27" s="12" t="s">
        <v>3115</v>
      </c>
      <c r="B27" s="12" t="s">
        <v>166</v>
      </c>
      <c r="C27" s="12" t="s">
        <v>167</v>
      </c>
      <c r="D27" s="12" t="s">
        <v>232</v>
      </c>
      <c r="E27" s="12" t="s">
        <v>3098</v>
      </c>
      <c r="F27" s="12" t="s">
        <v>1867</v>
      </c>
      <c r="G27" s="12" t="s">
        <v>3099</v>
      </c>
      <c r="H27" s="12" t="s">
        <v>215</v>
      </c>
      <c r="I27" s="12" t="s">
        <v>1296</v>
      </c>
      <c r="J27" s="12"/>
      <c r="K27" s="53" t="str">
        <f>HYPERLINK("#MesID941", "BE.RECI.941")</f>
        <v>BE.RECI.941</v>
      </c>
      <c r="L27" s="53" t="str">
        <f>HYPERLINK("#MesID1210", "BG.NECI.1210")</f>
        <v>BG.NECI.1210</v>
      </c>
      <c r="M27" s="53" t="str">
        <f>HYPERLINK("#MesID1016", "CY.NECI.1016")</f>
        <v>CY.NECI.1016</v>
      </c>
      <c r="N27" s="53" t="str">
        <f>HYPERLINK("#MesID974", "CZ.NECI.974")</f>
        <v>CZ.NECI.974</v>
      </c>
      <c r="O27" s="53" t="str">
        <f>HYPERLINK("#MesID1007", "DE.NECI.1007")</f>
        <v>DE.NECI.1007</v>
      </c>
      <c r="P27" s="53" t="str">
        <f>HYPERLINK("#MesID991", "DK.RECI.991")</f>
        <v>DK.RECI.991</v>
      </c>
      <c r="Q27" s="53" t="str">
        <f>HYPERLINK("#MesID997", "EE.NECI.997")</f>
        <v>EE.NECI.997</v>
      </c>
      <c r="R27" s="53" t="str">
        <f>HYPERLINK("#MesID979", "ES.NECI.979")</f>
        <v>ES.NECI.979</v>
      </c>
      <c r="S27" s="53" t="str">
        <f>HYPERLINK("#MesID993", "FI.RECI.993")</f>
        <v>FI.RECI.993</v>
      </c>
      <c r="T27" s="53" t="str">
        <f>HYPERLINK("#MesID963", "FR.RECI.963")</f>
        <v>FR.RECI.963</v>
      </c>
      <c r="U27" s="53" t="str">
        <f>HYPERLINK("#MesID948", "GR.NECI.948")</f>
        <v>GR.NECI.948</v>
      </c>
      <c r="V27" s="53" t="str">
        <f>HYPERLINK("#MesID968", "HR.NECI.968")</f>
        <v>HR.NECI.968</v>
      </c>
      <c r="W27" s="53" t="str">
        <f>HYPERLINK("#MesID1106", "HU.NECI.1106")</f>
        <v>HU.NECI.1106</v>
      </c>
      <c r="X27" s="53" t="str">
        <f>HYPERLINK("#MesID1002", "IE.NECI.1002")</f>
        <v>IE.NECI.1002</v>
      </c>
      <c r="Y27" s="53" t="str">
        <f>HYPERLINK("#MesID989", "IS.NECI.989")</f>
        <v>IS.NECI.989</v>
      </c>
      <c r="Z27" s="12"/>
      <c r="AA27" s="12"/>
      <c r="AB27" s="53" t="str">
        <f>HYPERLINK("#MesID1266", "LT.RECI.1266")</f>
        <v>LT.RECI.1266</v>
      </c>
      <c r="AC27" s="53" t="str">
        <f>HYPERLINK("#MesID986", "LU.NECI.986")</f>
        <v>LU.NECI.986</v>
      </c>
      <c r="AD27" s="53" t="str">
        <f>HYPERLINK("#MesID1032", "LV.NECI.1032")</f>
        <v>LV.NECI.1032</v>
      </c>
      <c r="AE27" s="53" t="str">
        <f>HYPERLINK("#MesID960", "MT.NECI.960")</f>
        <v>MT.NECI.960</v>
      </c>
      <c r="AF27" s="53" t="str">
        <f>HYPERLINK("#MesID945", "NL.NECI.945")</f>
        <v>NL.NECI.945</v>
      </c>
      <c r="AG27" s="12"/>
      <c r="AH27" s="12"/>
      <c r="AI27" s="12"/>
      <c r="AJ27" s="53" t="str">
        <f>HYPERLINK("#MesID936", "RO.NECI.936")</f>
        <v>RO.NECI.936</v>
      </c>
      <c r="AK27" s="53" t="str">
        <f>HYPERLINK("#MesID971", "SE.RECI.971")</f>
        <v>SE.RECI.971</v>
      </c>
      <c r="AL27" s="53" t="str">
        <f>HYPERLINK("#MesID956", "SI.NECI.956")</f>
        <v>SI.NECI.956</v>
      </c>
      <c r="AM27" s="12"/>
      <c r="AN27" s="12"/>
    </row>
    <row r="28" spans="1:40" ht="45" x14ac:dyDescent="0.25">
      <c r="A28" s="12" t="s">
        <v>3116</v>
      </c>
      <c r="B28" s="12" t="s">
        <v>166</v>
      </c>
      <c r="C28" s="12" t="s">
        <v>167</v>
      </c>
      <c r="D28" s="12" t="s">
        <v>232</v>
      </c>
      <c r="E28" s="12" t="s">
        <v>3098</v>
      </c>
      <c r="F28" s="12" t="s">
        <v>1867</v>
      </c>
      <c r="G28" s="12" t="s">
        <v>3099</v>
      </c>
      <c r="H28" s="12" t="s">
        <v>215</v>
      </c>
      <c r="I28" s="12" t="s">
        <v>1296</v>
      </c>
      <c r="J28" s="12"/>
      <c r="K28" s="53" t="str">
        <f>HYPERLINK("#MesID942", "BE.RECI.942")</f>
        <v>BE.RECI.942</v>
      </c>
      <c r="L28" s="53" t="str">
        <f>HYPERLINK("#MesID1211", "BG.NECI.1211")</f>
        <v>BG.NECI.1211</v>
      </c>
      <c r="M28" s="53" t="str">
        <f>HYPERLINK("#MesID1017", "CY.NECI.1017")</f>
        <v>CY.NECI.1017</v>
      </c>
      <c r="N28" s="53" t="str">
        <f>HYPERLINK("#MesID975", "CZ.NECI.975")</f>
        <v>CZ.NECI.975</v>
      </c>
      <c r="O28" s="53" t="str">
        <f>HYPERLINK("#MesID1008", "DE.NECI.1008")</f>
        <v>DE.NECI.1008</v>
      </c>
      <c r="P28" s="53" t="str">
        <f>HYPERLINK("#MesID992", "DK.RECI.992")</f>
        <v>DK.RECI.992</v>
      </c>
      <c r="Q28" s="53" t="str">
        <f>HYPERLINK("#MesID998", "EE.NECI.998")</f>
        <v>EE.NECI.998</v>
      </c>
      <c r="R28" s="53" t="str">
        <f>HYPERLINK("#MesID980", "ES.NECI.980")</f>
        <v>ES.NECI.980</v>
      </c>
      <c r="S28" s="53" t="str">
        <f>HYPERLINK("#MesID994", "FI.RECI.994")</f>
        <v>FI.RECI.994</v>
      </c>
      <c r="T28" s="53" t="str">
        <f>HYPERLINK("#MesID964", "FR.RECI.964")</f>
        <v>FR.RECI.964</v>
      </c>
      <c r="U28" s="53" t="str">
        <f>HYPERLINK("#MesID949", "GR.NECI.949")</f>
        <v>GR.NECI.949</v>
      </c>
      <c r="V28" s="53" t="str">
        <f>HYPERLINK("#MesID969", "HR.NECI.969")</f>
        <v>HR.NECI.969</v>
      </c>
      <c r="W28" s="53" t="str">
        <f>HYPERLINK("#MesID1105", "HU.NECI.1105")</f>
        <v>HU.NECI.1105</v>
      </c>
      <c r="X28" s="53" t="str">
        <f>HYPERLINK("#MesID1003", "IE.NECI.1003")</f>
        <v>IE.NECI.1003</v>
      </c>
      <c r="Y28" s="53" t="str">
        <f>HYPERLINK("#MesID990", "IS.NECI.990")</f>
        <v>IS.NECI.990</v>
      </c>
      <c r="Z28" s="12"/>
      <c r="AA28" s="12"/>
      <c r="AB28" s="12"/>
      <c r="AC28" s="53" t="str">
        <f>HYPERLINK("#MesID985", "LU.NECI.985")</f>
        <v>LU.NECI.985</v>
      </c>
      <c r="AD28" s="53" t="str">
        <f>HYPERLINK("#MesID1034", "LV.NECI.1034")</f>
        <v>LV.NECI.1034</v>
      </c>
      <c r="AE28" s="53" t="str">
        <f>HYPERLINK("#MesID961", "MT.NECI.961")</f>
        <v>MT.NECI.961</v>
      </c>
      <c r="AF28" s="53" t="str">
        <f>HYPERLINK("#MesID946", "NL.NECI.946")</f>
        <v>NL.NECI.946</v>
      </c>
      <c r="AG28" s="12"/>
      <c r="AH28" s="12"/>
      <c r="AI28" s="12"/>
      <c r="AJ28" s="53" t="str">
        <f>HYPERLINK("#MesID937", "RO.NECI.937")</f>
        <v>RO.NECI.937</v>
      </c>
      <c r="AK28" s="53" t="str">
        <f>HYPERLINK("#MesID970", "SE.RECI.970")</f>
        <v>SE.RECI.970</v>
      </c>
      <c r="AL28" s="53" t="str">
        <f>HYPERLINK("#MesID957", "SI.NECI.957")</f>
        <v>SI.NECI.957</v>
      </c>
      <c r="AM28" s="12"/>
      <c r="AN28" s="12"/>
    </row>
    <row r="29" spans="1:40" ht="30" x14ac:dyDescent="0.25">
      <c r="A29" s="12" t="s">
        <v>3117</v>
      </c>
      <c r="B29" s="12" t="s">
        <v>166</v>
      </c>
      <c r="C29" s="12" t="s">
        <v>523</v>
      </c>
      <c r="D29" s="12" t="s">
        <v>67</v>
      </c>
      <c r="E29" s="12" t="s">
        <v>3118</v>
      </c>
      <c r="F29" s="12" t="s">
        <v>3119</v>
      </c>
      <c r="G29" s="12" t="s">
        <v>3102</v>
      </c>
      <c r="H29" s="12" t="s">
        <v>215</v>
      </c>
      <c r="I29" s="12"/>
      <c r="J29" s="12"/>
      <c r="K29" s="12"/>
      <c r="L29" s="12"/>
      <c r="M29" s="12"/>
      <c r="N29" s="12"/>
      <c r="O29" s="12"/>
      <c r="P29" s="53" t="str">
        <f>HYPERLINK("#MesID99", "DK.RECI.99")</f>
        <v>DK.RECI.99</v>
      </c>
      <c r="Q29" s="12"/>
      <c r="R29" s="12"/>
      <c r="S29" s="12"/>
      <c r="T29" s="12"/>
      <c r="U29" s="12"/>
      <c r="V29" s="12"/>
      <c r="W29" s="12"/>
      <c r="X29" s="12"/>
      <c r="Y29" s="12"/>
      <c r="Z29" s="12"/>
      <c r="AA29" s="12"/>
      <c r="AB29" s="12"/>
      <c r="AC29" s="12"/>
      <c r="AD29" s="12"/>
      <c r="AE29" s="12"/>
      <c r="AF29" s="12"/>
      <c r="AG29" s="12"/>
      <c r="AH29" s="12"/>
      <c r="AI29" s="12"/>
      <c r="AJ29" s="12"/>
      <c r="AK29" s="53" t="str">
        <f>HYPERLINK("#MesID179", "SE.RECI.179")</f>
        <v>SE.RECI.179</v>
      </c>
      <c r="AL29" s="12"/>
      <c r="AM29" s="12"/>
      <c r="AN29" s="12"/>
    </row>
    <row r="30" spans="1:40" ht="30" x14ac:dyDescent="0.25">
      <c r="A30" s="12" t="s">
        <v>1289</v>
      </c>
      <c r="B30" s="12" t="s">
        <v>166</v>
      </c>
      <c r="C30" s="12" t="s">
        <v>167</v>
      </c>
      <c r="D30" s="12" t="s">
        <v>224</v>
      </c>
      <c r="E30" s="12" t="s">
        <v>3105</v>
      </c>
      <c r="F30" s="12" t="s">
        <v>915</v>
      </c>
      <c r="G30" s="12" t="s">
        <v>3099</v>
      </c>
      <c r="H30" s="12" t="s">
        <v>215</v>
      </c>
      <c r="I30" s="12" t="s">
        <v>1292</v>
      </c>
      <c r="J30" s="12"/>
      <c r="K30" s="12"/>
      <c r="L30" s="53" t="str">
        <f>HYPERLINK("#MesID1552", "BG.NECI.1552")</f>
        <v>BG.NECI.1552</v>
      </c>
      <c r="M30" s="53" t="str">
        <f>HYPERLINK("#MesID1480", "CY.NECI.1480")</f>
        <v>CY.NECI.1480</v>
      </c>
      <c r="N30" s="53" t="str">
        <f>HYPERLINK("#MesID1374", "CZ.NECI.1374")</f>
        <v>CZ.NECI.1374</v>
      </c>
      <c r="O30" s="53" t="str">
        <f>HYPERLINK("#MesID1485", "DE.RECI.1485")</f>
        <v>DE.RECI.1485</v>
      </c>
      <c r="P30" s="53" t="str">
        <f>HYPERLINK("#MesID1510", "DK.RECI.1510")</f>
        <v>DK.RECI.1510</v>
      </c>
      <c r="Q30" s="12"/>
      <c r="R30" s="53" t="str">
        <f>HYPERLINK("#MesID1335", "ES.NECI.1335")</f>
        <v>ES.NECI.1335</v>
      </c>
      <c r="S30" s="53" t="str">
        <f>HYPERLINK("#MesID1329", "FI.RECI.1329")</f>
        <v>FI.RECI.1329</v>
      </c>
      <c r="T30" s="53" t="str">
        <f>HYPERLINK("#MesID1330", "FR.RECI.1330")</f>
        <v>FR.RECI.1330</v>
      </c>
      <c r="U30" s="12"/>
      <c r="V30" s="12"/>
      <c r="W30" s="53" t="str">
        <f>HYPERLINK("#MesID1561", "HU.NECI.1561")</f>
        <v>HU.NECI.1561</v>
      </c>
      <c r="X30" s="53" t="str">
        <f>HYPERLINK("#MesID1385", "IE.RECI.1385")</f>
        <v>IE.RECI.1385</v>
      </c>
      <c r="Y30" s="12"/>
      <c r="Z30" s="12"/>
      <c r="AA30" s="53" t="str">
        <f>HYPERLINK("#MesID1334", "LI.NECI.1334")</f>
        <v>LI.NECI.1334</v>
      </c>
      <c r="AB30" s="12"/>
      <c r="AC30" s="53" t="str">
        <f>HYPERLINK("#MesID1386", "LU.NECI.1386")</f>
        <v>LU.NECI.1386</v>
      </c>
      <c r="AD30" s="53" t="str">
        <f>HYPERLINK("#MesID1377", "LV.NECI.1377")</f>
        <v>LV.NECI.1377</v>
      </c>
      <c r="AE30" s="12"/>
      <c r="AF30" s="53" t="str">
        <f>HYPERLINK("#MesID1390", "NL.RECI.1390")</f>
        <v>NL.RECI.1390</v>
      </c>
      <c r="AG30" s="12"/>
      <c r="AH30" s="12"/>
      <c r="AI30" s="12"/>
      <c r="AJ30" s="53" t="str">
        <f>HYPERLINK("#MesID1320", "RO.NECI.1320")</f>
        <v>RO.NECI.1320</v>
      </c>
      <c r="AK30" s="53" t="str">
        <f>HYPERLINK("#MesID1511", "SE.RECI.1511")</f>
        <v>SE.RECI.1511</v>
      </c>
      <c r="AL30" s="12"/>
      <c r="AM30" s="12"/>
      <c r="AN30" s="12"/>
    </row>
    <row r="31" spans="1:40" ht="30" x14ac:dyDescent="0.25">
      <c r="A31" s="12" t="s">
        <v>1293</v>
      </c>
      <c r="B31" s="12" t="s">
        <v>166</v>
      </c>
      <c r="C31" s="12" t="s">
        <v>167</v>
      </c>
      <c r="D31" s="12" t="s">
        <v>232</v>
      </c>
      <c r="E31" s="12" t="s">
        <v>3105</v>
      </c>
      <c r="F31" s="12" t="s">
        <v>915</v>
      </c>
      <c r="G31" s="12" t="s">
        <v>3099</v>
      </c>
      <c r="H31" s="12" t="s">
        <v>215</v>
      </c>
      <c r="I31" s="12" t="s">
        <v>1296</v>
      </c>
      <c r="J31" s="12"/>
      <c r="K31" s="53" t="str">
        <f>HYPERLINK("#MesID939", "BE.RECI.939")</f>
        <v>BE.RECI.939</v>
      </c>
      <c r="L31" s="53" t="str">
        <f>HYPERLINK("#MesID1172", "BG.NECI.1172")</f>
        <v>BG.NECI.1172</v>
      </c>
      <c r="M31" s="53" t="str">
        <f>HYPERLINK("#MesID1015", "CY.NECI.1015")</f>
        <v>CY.NECI.1015</v>
      </c>
      <c r="N31" s="53" t="str">
        <f>HYPERLINK("#MesID973", "CZ.NECI.973")</f>
        <v>CZ.NECI.973</v>
      </c>
      <c r="O31" s="53" t="str">
        <f>HYPERLINK("#MesID1006", "DE.NECI.1006")</f>
        <v>DE.NECI.1006</v>
      </c>
      <c r="P31" s="12"/>
      <c r="Q31" s="53" t="str">
        <f>HYPERLINK("#MesID996", "EE.NECI.996")</f>
        <v>EE.NECI.996</v>
      </c>
      <c r="R31" s="53" t="str">
        <f>HYPERLINK("#MesID978", "ES.NECI.978")</f>
        <v>ES.NECI.978</v>
      </c>
      <c r="S31" s="12"/>
      <c r="T31" s="53" t="str">
        <f>HYPERLINK("#MesID965", "FR.RECI.965")</f>
        <v>FR.RECI.965</v>
      </c>
      <c r="U31" s="53" t="str">
        <f>HYPERLINK("#MesID1216", "GR.NECI.1216")</f>
        <v>GR.NECI.1216</v>
      </c>
      <c r="V31" s="53" t="str">
        <f>HYPERLINK("#MesID967", "HR.NECI.967")</f>
        <v>HR.NECI.967</v>
      </c>
      <c r="W31" s="53" t="str">
        <f>HYPERLINK("#MesID1107", "HU.NECI.1107")</f>
        <v>HU.NECI.1107</v>
      </c>
      <c r="X31" s="53" t="str">
        <f>HYPERLINK("#MesID1000", "IE.NECI.1000")</f>
        <v>IE.NECI.1000</v>
      </c>
      <c r="Y31" s="53" t="str">
        <f>HYPERLINK("#MesID988", "IS.NECI.988")</f>
        <v>IS.NECI.988</v>
      </c>
      <c r="Z31" s="53" t="str">
        <f>HYPERLINK("#MesID1162", "IT.NECI.1162")</f>
        <v>IT.NECI.1162</v>
      </c>
      <c r="AA31" s="53" t="str">
        <f>HYPERLINK("#MesID953", "LI.NECI.953")</f>
        <v>LI.NECI.953</v>
      </c>
      <c r="AB31" s="53" t="str">
        <f>HYPERLINK("#MesID1265", "LT.RECI.1265")</f>
        <v>LT.RECI.1265</v>
      </c>
      <c r="AC31" s="53" t="str">
        <f>HYPERLINK("#MesID1089", "LU.NECI.1089")</f>
        <v>LU.NECI.1089</v>
      </c>
      <c r="AD31" s="53" t="str">
        <f>HYPERLINK("#MesID1226", "LV.NECI.1226")</f>
        <v>LV.NECI.1226</v>
      </c>
      <c r="AE31" s="53" t="str">
        <f>HYPERLINK("#MesID959", "MT.NECI.959")</f>
        <v>MT.NECI.959</v>
      </c>
      <c r="AF31" s="53" t="str">
        <f>HYPERLINK("#MesID944", "NL.NECI.944")</f>
        <v>NL.NECI.944</v>
      </c>
      <c r="AG31" s="12"/>
      <c r="AH31" s="12"/>
      <c r="AI31" s="53" t="str">
        <f>HYPERLINK("#MesID1004", "PT.RECI.1004")</f>
        <v>PT.RECI.1004</v>
      </c>
      <c r="AJ31" s="53" t="str">
        <f>HYPERLINK("#MesID935", "RO.NECI.935")</f>
        <v>RO.NECI.935</v>
      </c>
      <c r="AK31" s="53" t="str">
        <f>HYPERLINK("#MesID1257", "SE.RECI.1257")</f>
        <v>SE.RECI.1257</v>
      </c>
      <c r="AL31" s="53" t="str">
        <f>HYPERLINK("#MesID955", "SI.NECI.955")</f>
        <v>SI.NECI.955</v>
      </c>
      <c r="AM31" s="12"/>
      <c r="AN31" s="12"/>
    </row>
    <row r="32" spans="1:40" ht="30" x14ac:dyDescent="0.25">
      <c r="A32" s="12" t="s">
        <v>1310</v>
      </c>
      <c r="B32" s="12" t="s">
        <v>176</v>
      </c>
      <c r="C32" s="12" t="s">
        <v>177</v>
      </c>
      <c r="D32" s="12" t="s">
        <v>220</v>
      </c>
      <c r="E32" s="12" t="s">
        <v>3105</v>
      </c>
      <c r="F32" s="12" t="s">
        <v>915</v>
      </c>
      <c r="G32" s="12" t="s">
        <v>3102</v>
      </c>
      <c r="H32" s="12" t="s">
        <v>215</v>
      </c>
      <c r="I32" s="12"/>
      <c r="J32" s="12"/>
      <c r="K32" s="53" t="str">
        <f>HYPERLINK("#MesID1567", "BE.RECI.1567")</f>
        <v>BE.RECI.1567</v>
      </c>
      <c r="L32" s="53" t="str">
        <f>HYPERLINK("#MesID1557", "BG.NECI.1557")</f>
        <v>BG.NECI.1557</v>
      </c>
      <c r="M32" s="53" t="str">
        <f>HYPERLINK("#MesID1664", "CY.NECI.1664")</f>
        <v>CY.NECI.1664</v>
      </c>
      <c r="N32" s="12"/>
      <c r="O32" s="12"/>
      <c r="P32" s="12"/>
      <c r="Q32" s="12"/>
      <c r="R32" s="53" t="str">
        <f>HYPERLINK("#MesID1581", "ES.RECI.1581")</f>
        <v>ES.RECI.1581</v>
      </c>
      <c r="S32" s="12"/>
      <c r="T32" s="12"/>
      <c r="U32" s="12"/>
      <c r="V32" s="53" t="str">
        <f>HYPERLINK("#MesID1586", "HR.NECI.1586")</f>
        <v>HR.NECI.1586</v>
      </c>
      <c r="W32" s="53" t="str">
        <f>HYPERLINK("#MesID1628", "HU.NECI.1628")</f>
        <v>HU.NECI.1628</v>
      </c>
      <c r="X32" s="53" t="str">
        <f>HYPERLINK("#MesID1564", "IE.NECI.1564")</f>
        <v>IE.NECI.1564</v>
      </c>
      <c r="Y32" s="53" t="str">
        <f>HYPERLINK("#MesID1583", "IS.NECI.1583")</f>
        <v>IS.NECI.1583</v>
      </c>
      <c r="Z32" s="53" t="str">
        <f>HYPERLINK("#MesID1587", "IT.NECI.1587")</f>
        <v>IT.NECI.1587</v>
      </c>
      <c r="AA32" s="53" t="str">
        <f>HYPERLINK("#MesID1516", "LI.NECI.1516")</f>
        <v>LI.NECI.1516</v>
      </c>
      <c r="AB32" s="53" t="str">
        <f>HYPERLINK("#MesID1642", "LT.RECI.1642")</f>
        <v>LT.RECI.1642</v>
      </c>
      <c r="AC32" s="53" t="str">
        <f>HYPERLINK("#MesID1540", "LU.NECI.1540")</f>
        <v>LU.NECI.1540</v>
      </c>
      <c r="AD32" s="53" t="str">
        <f>HYPERLINK("#MesID1604", "LV.NECI.1604")</f>
        <v>LV.NECI.1604</v>
      </c>
      <c r="AE32" s="53" t="str">
        <f>HYPERLINK("#MesID1579", "MT.NECI.1579")</f>
        <v>MT.NECI.1579</v>
      </c>
      <c r="AF32" s="12"/>
      <c r="AG32" s="53" t="str">
        <f>HYPERLINK("#MesID1591", "NO.NECI.1591")</f>
        <v>NO.NECI.1591</v>
      </c>
      <c r="AH32" s="53" t="str">
        <f>HYPERLINK("#MesID1563", "PL.NECI.1563")</f>
        <v>PL.NECI.1563</v>
      </c>
      <c r="AI32" s="12"/>
      <c r="AJ32" s="53" t="str">
        <f>HYPERLINK("#MesID1543", "RO.NECI.1543")</f>
        <v>RO.NECI.1543</v>
      </c>
      <c r="AK32" s="53" t="str">
        <f>HYPERLINK("#MesID1569", "SE.NECI.1569")</f>
        <v>SE.NECI.1569</v>
      </c>
      <c r="AL32" s="53" t="str">
        <f>HYPERLINK("#MesID1518", "SI.NECI.1518")</f>
        <v>SI.NECI.1518</v>
      </c>
      <c r="AM32" s="12"/>
      <c r="AN32" s="12"/>
    </row>
    <row r="33" spans="1:40" ht="45" x14ac:dyDescent="0.25">
      <c r="A33" s="12" t="s">
        <v>3120</v>
      </c>
      <c r="B33" s="12" t="s">
        <v>197</v>
      </c>
      <c r="C33" s="12" t="s">
        <v>198</v>
      </c>
      <c r="D33" s="12" t="s">
        <v>228</v>
      </c>
      <c r="E33" s="12" t="s">
        <v>3121</v>
      </c>
      <c r="F33" s="12" t="s">
        <v>1867</v>
      </c>
      <c r="G33" s="12" t="s">
        <v>3099</v>
      </c>
      <c r="H33" s="12" t="s">
        <v>215</v>
      </c>
      <c r="I33" s="12" t="s">
        <v>3122</v>
      </c>
      <c r="J33" s="12"/>
      <c r="K33" s="12"/>
      <c r="L33" s="53" t="str">
        <f>HYPERLINK("#MesID1173", "BG.NECI.1173")</f>
        <v>BG.NECI.1173</v>
      </c>
      <c r="M33" s="12"/>
      <c r="N33" s="12"/>
      <c r="O33" s="12"/>
      <c r="P33" s="12"/>
      <c r="Q33" s="53" t="str">
        <f>HYPERLINK("#MesID1476", "EE.NECI.1476")</f>
        <v>EE.NECI.1476</v>
      </c>
      <c r="R33" s="12"/>
      <c r="S33" s="12"/>
      <c r="T33" s="12"/>
      <c r="U33" s="53" t="str">
        <f>HYPERLINK("#MesID1477", "GR.NECI.1477")</f>
        <v>GR.NECI.1477</v>
      </c>
      <c r="V33" s="12"/>
      <c r="W33" s="12"/>
      <c r="X33" s="12"/>
      <c r="Y33" s="12"/>
      <c r="Z33" s="12"/>
      <c r="AA33" s="53" t="str">
        <f>HYPERLINK("#MesID1361", "LI.NECI.1361")</f>
        <v>LI.NECI.1361</v>
      </c>
      <c r="AB33" s="12"/>
      <c r="AC33" s="12"/>
      <c r="AD33" s="12"/>
      <c r="AE33" s="12"/>
      <c r="AF33" s="12"/>
      <c r="AG33" s="12"/>
      <c r="AH33" s="12"/>
      <c r="AI33" s="12"/>
      <c r="AJ33" s="12"/>
      <c r="AK33" s="12"/>
      <c r="AL33" s="12"/>
      <c r="AM33" s="12"/>
      <c r="AN33" s="12"/>
    </row>
    <row r="34" spans="1:40" ht="45" x14ac:dyDescent="0.25">
      <c r="A34" s="12" t="s">
        <v>3123</v>
      </c>
      <c r="B34" s="12" t="s">
        <v>197</v>
      </c>
      <c r="C34" s="12" t="s">
        <v>198</v>
      </c>
      <c r="D34" s="12" t="s">
        <v>220</v>
      </c>
      <c r="E34" s="12" t="s">
        <v>3121</v>
      </c>
      <c r="F34" s="12" t="s">
        <v>1867</v>
      </c>
      <c r="G34" s="12" t="s">
        <v>3102</v>
      </c>
      <c r="H34" s="12" t="s">
        <v>215</v>
      </c>
      <c r="I34" s="12" t="s">
        <v>3122</v>
      </c>
      <c r="J34" s="12"/>
      <c r="K34" s="12"/>
      <c r="L34" s="12"/>
      <c r="M34" s="12"/>
      <c r="N34" s="12"/>
      <c r="O34" s="12"/>
      <c r="P34" s="12"/>
      <c r="Q34" s="12"/>
      <c r="R34" s="12"/>
      <c r="S34" s="53" t="str">
        <f>HYPERLINK("#MesID1493", "FI.RECI.1493")</f>
        <v>FI.RECI.1493</v>
      </c>
      <c r="T34" s="12"/>
      <c r="U34" s="12"/>
      <c r="V34" s="12"/>
      <c r="W34" s="53" t="str">
        <f>HYPERLINK("#MesID1562", "HU.NECI.1562")</f>
        <v>HU.NECI.1562</v>
      </c>
      <c r="X34" s="12"/>
      <c r="Y34" s="12"/>
      <c r="Z34" s="12"/>
      <c r="AA34" s="12"/>
      <c r="AB34" s="12"/>
      <c r="AC34" s="53" t="str">
        <f>HYPERLINK("#MesID1522", "LU.NECI.1522")</f>
        <v>LU.NECI.1522</v>
      </c>
      <c r="AD34" s="12"/>
      <c r="AE34" s="12"/>
      <c r="AF34" s="12"/>
      <c r="AG34" s="12"/>
      <c r="AH34" s="12"/>
      <c r="AI34" s="12"/>
      <c r="AJ34" s="12"/>
      <c r="AK34" s="12"/>
      <c r="AL34" s="53" t="str">
        <f>HYPERLINK("#MesID1494", "SI.NECI.1494")</f>
        <v>SI.NECI.1494</v>
      </c>
      <c r="AM34" s="12"/>
      <c r="AN34" s="12"/>
    </row>
    <row r="35" spans="1:40" ht="45" x14ac:dyDescent="0.25">
      <c r="A35" s="12" t="s">
        <v>3124</v>
      </c>
      <c r="B35" s="12" t="s">
        <v>197</v>
      </c>
      <c r="C35" s="12" t="s">
        <v>198</v>
      </c>
      <c r="D35" s="12" t="s">
        <v>220</v>
      </c>
      <c r="E35" s="12" t="s">
        <v>3098</v>
      </c>
      <c r="F35" s="12" t="s">
        <v>1867</v>
      </c>
      <c r="G35" s="12" t="s">
        <v>3102</v>
      </c>
      <c r="H35" s="12" t="s">
        <v>215</v>
      </c>
      <c r="I35" s="12" t="s">
        <v>3122</v>
      </c>
      <c r="J35" s="12"/>
      <c r="K35" s="53" t="str">
        <f>HYPERLINK("#MesID1392", "BE.RECI.1392")</f>
        <v>BE.RECI.1392</v>
      </c>
      <c r="L35" s="53" t="str">
        <f>HYPERLINK("#MesID1555", "BG.NECI.1555")</f>
        <v>BG.NECI.1555</v>
      </c>
      <c r="M35" s="53" t="str">
        <f>HYPERLINK("#MesID1483", "CY.NECI.1483")</f>
        <v>CY.NECI.1483</v>
      </c>
      <c r="N35" s="53" t="str">
        <f>HYPERLINK("#MesID1440", "CZ.NECI.1440")</f>
        <v>CZ.NECI.1440</v>
      </c>
      <c r="O35" s="12"/>
      <c r="P35" s="12"/>
      <c r="Q35" s="53" t="str">
        <f>HYPERLINK("#MesID1475", "EE.NECI.1475")</f>
        <v>EE.NECI.1475</v>
      </c>
      <c r="R35" s="53" t="str">
        <f>HYPERLINK("#MesID1467", "ES.NECI.1467")</f>
        <v>ES.NECI.1467</v>
      </c>
      <c r="S35" s="53" t="str">
        <f>HYPERLINK("#MesID1407", "FI.RECI.1407")</f>
        <v>FI.RECI.1407</v>
      </c>
      <c r="T35" s="53" t="str">
        <f>HYPERLINK("#MesID1479", "FR.RECI.1479")</f>
        <v>FR.RECI.1479</v>
      </c>
      <c r="U35" s="53" t="str">
        <f>HYPERLINK("#MesID1478", "GR.NECI.1478")</f>
        <v>GR.NECI.1478</v>
      </c>
      <c r="V35" s="53" t="str">
        <f>HYPERLINK("#MesID1484", "HR.NECI.1484")</f>
        <v>HR.NECI.1484</v>
      </c>
      <c r="W35" s="53" t="str">
        <f>HYPERLINK("#MesID1575", "HU.NECI.1575")</f>
        <v>HU.NECI.1575</v>
      </c>
      <c r="X35" s="53" t="str">
        <f>HYPERLINK("#MesID1474", "IE.NECI.1474")</f>
        <v>IE.NECI.1474</v>
      </c>
      <c r="Y35" s="53" t="str">
        <f>HYPERLINK("#MesID1459", "IS.NECI.1459")</f>
        <v>IS.NECI.1459</v>
      </c>
      <c r="Z35" s="53" t="str">
        <f>HYPERLINK("#MesID1453", "IT.NECI.1453")</f>
        <v>IT.NECI.1453</v>
      </c>
      <c r="AA35" s="12"/>
      <c r="AB35" s="53" t="str">
        <f>HYPERLINK("#MesID1495", "LT.RECI.1495")</f>
        <v>LT.RECI.1495</v>
      </c>
      <c r="AC35" s="12"/>
      <c r="AD35" s="53" t="str">
        <f>HYPERLINK("#MesID1539", "LV.NECI.1539")</f>
        <v>LV.NECI.1539</v>
      </c>
      <c r="AE35" s="53" t="str">
        <f>HYPERLINK("#MesID1413", "MT.NECI.1413")</f>
        <v>MT.NECI.1413</v>
      </c>
      <c r="AF35" s="12"/>
      <c r="AG35" s="53" t="str">
        <f>HYPERLINK("#MesID1491", "NO.NECI.1491")</f>
        <v>NO.NECI.1491</v>
      </c>
      <c r="AH35" s="53" t="str">
        <f>HYPERLINK("#MesID1409", "PL.NECI.1409")</f>
        <v>PL.NECI.1409</v>
      </c>
      <c r="AI35" s="53" t="str">
        <f>HYPERLINK("#MesID1473", "PT.NECI.1473")</f>
        <v>PT.NECI.1473</v>
      </c>
      <c r="AJ35" s="53" t="str">
        <f>HYPERLINK("#MesID1451", "RO.NECI.1451")</f>
        <v>RO.NECI.1451</v>
      </c>
      <c r="AK35" s="12"/>
      <c r="AL35" s="12"/>
      <c r="AM35" s="12"/>
      <c r="AN35" s="12"/>
    </row>
    <row r="36" spans="1:40" ht="45" x14ac:dyDescent="0.25">
      <c r="A36" s="12" t="s">
        <v>3125</v>
      </c>
      <c r="B36" s="12" t="s">
        <v>197</v>
      </c>
      <c r="C36" s="12" t="s">
        <v>198</v>
      </c>
      <c r="D36" s="12" t="s">
        <v>55</v>
      </c>
      <c r="E36" s="12" t="s">
        <v>3098</v>
      </c>
      <c r="F36" s="12" t="s">
        <v>1867</v>
      </c>
      <c r="G36" s="12" t="s">
        <v>3099</v>
      </c>
      <c r="H36" s="12" t="s">
        <v>215</v>
      </c>
      <c r="I36" s="12" t="s">
        <v>3126</v>
      </c>
      <c r="J36" s="53" t="str">
        <f>HYPERLINK("#MesID670", "AT.NECI.670")</f>
        <v>AT.NECI.670</v>
      </c>
      <c r="K36" s="53" t="str">
        <f>HYPERLINK("#MesID665", "BE.RECI.665")</f>
        <v>BE.RECI.665</v>
      </c>
      <c r="L36" s="12"/>
      <c r="M36" s="53" t="str">
        <f>HYPERLINK("#MesID668", "CY.NECI.668")</f>
        <v>CY.NECI.668</v>
      </c>
      <c r="N36" s="53" t="str">
        <f>HYPERLINK("#MesID654", "CZ.NECI.654")</f>
        <v>CZ.NECI.654</v>
      </c>
      <c r="O36" s="53" t="str">
        <f>HYPERLINK("#MesID687", "DE.NECI.687")</f>
        <v>DE.NECI.687</v>
      </c>
      <c r="P36" s="53" t="str">
        <f>HYPERLINK("#MesID706", "DK.RECI.706")</f>
        <v>DK.RECI.706</v>
      </c>
      <c r="Q36" s="53" t="str">
        <f>HYPERLINK("#MesID638", "EE.NECI.638")</f>
        <v>EE.NECI.638</v>
      </c>
      <c r="R36" s="53" t="str">
        <f>HYPERLINK("#MesID641", "ES.NECI.641")</f>
        <v>ES.NECI.641</v>
      </c>
      <c r="S36" s="53" t="str">
        <f>HYPERLINK("#MesID628", "FI.RECI.628")</f>
        <v>FI.RECI.628</v>
      </c>
      <c r="T36" s="53" t="str">
        <f>HYPERLINK("#MesID712", "FR.RECI.712")</f>
        <v>FR.RECI.712</v>
      </c>
      <c r="U36" s="53" t="str">
        <f>HYPERLINK("#MesID630", "GR.NECI.630")</f>
        <v>GR.NECI.630</v>
      </c>
      <c r="V36" s="53" t="str">
        <f>HYPERLINK("#MesID701", "HR.NECI.701")</f>
        <v>HR.NECI.701</v>
      </c>
      <c r="W36" s="53" t="str">
        <f>HYPERLINK("#MesID658", "HU.NECI.658")</f>
        <v>HU.NECI.658</v>
      </c>
      <c r="X36" s="53" t="str">
        <f>HYPERLINK("#MesID650", "IE.NECI.650")</f>
        <v>IE.NECI.650</v>
      </c>
      <c r="Y36" s="53" t="str">
        <f>HYPERLINK("#MesID835", "IS.NECI.835")</f>
        <v>IS.NECI.835</v>
      </c>
      <c r="Z36" s="53" t="str">
        <f>HYPERLINK("#MesID648", "IT.NECI.648")</f>
        <v>IT.NECI.648</v>
      </c>
      <c r="AA36" s="53" t="str">
        <f>HYPERLINK("#MesID954", "LI.NECI.954")</f>
        <v>LI.NECI.954</v>
      </c>
      <c r="AB36" s="53" t="str">
        <f>HYPERLINK("#MesID685", "LT.RECI.685")</f>
        <v>LT.RECI.685</v>
      </c>
      <c r="AC36" s="53" t="str">
        <f>HYPERLINK("#MesID660", "LU.NECI.660")</f>
        <v>LU.NECI.660</v>
      </c>
      <c r="AD36" s="53" t="str">
        <f>HYPERLINK("#MesID676", "LV.NECI.676")</f>
        <v>LV.NECI.676</v>
      </c>
      <c r="AE36" s="53" t="str">
        <f>HYPERLINK("#MesID716", "MT.NECI.716")</f>
        <v>MT.NECI.716</v>
      </c>
      <c r="AF36" s="53" t="str">
        <f>HYPERLINK("#MesID1104", "NL.NECI.1104")</f>
        <v>NL.NECI.1104</v>
      </c>
      <c r="AG36" s="53" t="str">
        <f>HYPERLINK("#MesID664", "NO.RECI.664")</f>
        <v>NO.RECI.664</v>
      </c>
      <c r="AH36" s="53" t="str">
        <f>HYPERLINK("#MesID674", "PL.NECI.674")</f>
        <v>PL.NECI.674</v>
      </c>
      <c r="AI36" s="53" t="str">
        <f>HYPERLINK("#MesID682", "PT.RECI.682")</f>
        <v>PT.RECI.682</v>
      </c>
      <c r="AJ36" s="53" t="str">
        <f>HYPERLINK("#MesID681", "RO.NECI.681")</f>
        <v>RO.NECI.681</v>
      </c>
      <c r="AK36" s="12"/>
      <c r="AL36" s="53" t="str">
        <f>HYPERLINK("#MesID631", "SI.NECI.631")</f>
        <v>SI.NECI.631</v>
      </c>
      <c r="AM36" s="53" t="str">
        <f>HYPERLINK("#MesID629", "SK.NECI.629")</f>
        <v>SK.NECI.629</v>
      </c>
      <c r="AN36" s="12"/>
    </row>
    <row r="37" spans="1:40" x14ac:dyDescent="0.25">
      <c r="A37" s="12" t="s">
        <v>3127</v>
      </c>
      <c r="B37" s="12" t="s">
        <v>197</v>
      </c>
      <c r="C37" s="12" t="s">
        <v>198</v>
      </c>
      <c r="D37" s="12" t="s">
        <v>67</v>
      </c>
      <c r="E37" s="12" t="s">
        <v>28</v>
      </c>
      <c r="F37" s="12" t="s">
        <v>3128</v>
      </c>
      <c r="G37" s="12" t="s">
        <v>3099</v>
      </c>
      <c r="H37" s="12" t="s">
        <v>215</v>
      </c>
      <c r="I37" s="12"/>
      <c r="J37" s="12"/>
      <c r="K37" s="12"/>
      <c r="L37" s="12"/>
      <c r="M37" s="12"/>
      <c r="N37" s="12"/>
      <c r="O37" s="12"/>
      <c r="P37" s="53" t="str">
        <f>HYPERLINK("#MesID101", "DK.RECI.101")</f>
        <v>DK.RECI.101</v>
      </c>
      <c r="Q37" s="12"/>
      <c r="R37" s="12"/>
      <c r="S37" s="12"/>
      <c r="T37" s="12"/>
      <c r="U37" s="12"/>
      <c r="V37" s="12"/>
      <c r="W37" s="12"/>
      <c r="X37" s="12"/>
      <c r="Y37" s="12"/>
      <c r="Z37" s="12"/>
      <c r="AA37" s="12"/>
      <c r="AB37" s="12"/>
      <c r="AC37" s="12"/>
      <c r="AD37" s="12"/>
      <c r="AE37" s="12"/>
      <c r="AF37" s="12"/>
      <c r="AG37" s="12"/>
      <c r="AH37" s="12"/>
      <c r="AI37" s="12"/>
      <c r="AJ37" s="12"/>
      <c r="AK37" s="12"/>
      <c r="AL37" s="12"/>
      <c r="AM37" s="12"/>
      <c r="AN37" s="12"/>
    </row>
  </sheetData>
  <mergeCells count="1">
    <mergeCell ref="J4:AN4"/>
  </mergeCells>
  <hyperlinks>
    <hyperlink ref="A1" location="'Table of Contents'!A1" display="&lt; Table of Contents" xr:uid="{00000000-0004-0000-0800-000000000000}"/>
  </hyperlinks>
  <pageMargins left="0.7" right="0.7" top="0.75" bottom="0.75" header="0.3" footer="0.3"/>
  <pageSetup paperSize="9" orientation="portrait"/>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553</vt:i4>
      </vt:variant>
    </vt:vector>
  </HeadingPairs>
  <TitlesOfParts>
    <vt:vector size="565" baseType="lpstr">
      <vt:lpstr>Table of Contents</vt:lpstr>
      <vt:lpstr>CCoB</vt:lpstr>
      <vt:lpstr>CCyB</vt:lpstr>
      <vt:lpstr>G-SII</vt:lpstr>
      <vt:lpstr>O-SII</vt:lpstr>
      <vt:lpstr>SRB</vt:lpstr>
      <vt:lpstr>BoBM</vt:lpstr>
      <vt:lpstr>Reciprocation (recognition)</vt:lpstr>
      <vt:lpstr>Matrix of reciprocation</vt:lpstr>
      <vt:lpstr>Other measures</vt:lpstr>
      <vt:lpstr>Glossary</vt:lpstr>
      <vt:lpstr>List</vt:lpstr>
      <vt:lpstr>MesID1000</vt:lpstr>
      <vt:lpstr>MesID1002</vt:lpstr>
      <vt:lpstr>MesID1003</vt:lpstr>
      <vt:lpstr>MesID1004</vt:lpstr>
      <vt:lpstr>MesID1005</vt:lpstr>
      <vt:lpstr>MesID1006</vt:lpstr>
      <vt:lpstr>MesID1007</vt:lpstr>
      <vt:lpstr>MesID1008</vt:lpstr>
      <vt:lpstr>MesID101</vt:lpstr>
      <vt:lpstr>MesID1010</vt:lpstr>
      <vt:lpstr>MesID1011</vt:lpstr>
      <vt:lpstr>MesID1012</vt:lpstr>
      <vt:lpstr>MesID1015</vt:lpstr>
      <vt:lpstr>MesID1016</vt:lpstr>
      <vt:lpstr>MesID1017</vt:lpstr>
      <vt:lpstr>MesID1018</vt:lpstr>
      <vt:lpstr>MesID1020</vt:lpstr>
      <vt:lpstr>MesID1023</vt:lpstr>
      <vt:lpstr>MesID1026</vt:lpstr>
      <vt:lpstr>MesID1027</vt:lpstr>
      <vt:lpstr>MesID1030</vt:lpstr>
      <vt:lpstr>MesID1032</vt:lpstr>
      <vt:lpstr>MesID1033</vt:lpstr>
      <vt:lpstr>MesID1034</vt:lpstr>
      <vt:lpstr>MesID1035</vt:lpstr>
      <vt:lpstr>MesID1036</vt:lpstr>
      <vt:lpstr>MesID106</vt:lpstr>
      <vt:lpstr>MesID1077</vt:lpstr>
      <vt:lpstr>MesID1080</vt:lpstr>
      <vt:lpstr>MesID1082</vt:lpstr>
      <vt:lpstr>MesID1089</vt:lpstr>
      <vt:lpstr>MesID1095</vt:lpstr>
      <vt:lpstr>MesID1097</vt:lpstr>
      <vt:lpstr>MesID1098</vt:lpstr>
      <vt:lpstr>MesID1102</vt:lpstr>
      <vt:lpstr>MesID1103</vt:lpstr>
      <vt:lpstr>MesID1104</vt:lpstr>
      <vt:lpstr>MesID1105</vt:lpstr>
      <vt:lpstr>MesID1106</vt:lpstr>
      <vt:lpstr>MesID1107</vt:lpstr>
      <vt:lpstr>MesID1108</vt:lpstr>
      <vt:lpstr>MesID1109</vt:lpstr>
      <vt:lpstr>MesID1110</vt:lpstr>
      <vt:lpstr>MesID1112</vt:lpstr>
      <vt:lpstr>MesID1113</vt:lpstr>
      <vt:lpstr>MesID1116</vt:lpstr>
      <vt:lpstr>MesID1117</vt:lpstr>
      <vt:lpstr>MesID1118</vt:lpstr>
      <vt:lpstr>MesID1124</vt:lpstr>
      <vt:lpstr>MesID1125</vt:lpstr>
      <vt:lpstr>MesID1127</vt:lpstr>
      <vt:lpstr>MesID1129</vt:lpstr>
      <vt:lpstr>MesID1131</vt:lpstr>
      <vt:lpstr>MesID1132</vt:lpstr>
      <vt:lpstr>MesID1133</vt:lpstr>
      <vt:lpstr>MesID1141</vt:lpstr>
      <vt:lpstr>MesID1142</vt:lpstr>
      <vt:lpstr>MesID1143</vt:lpstr>
      <vt:lpstr>MesID1144</vt:lpstr>
      <vt:lpstr>MesID1145</vt:lpstr>
      <vt:lpstr>MesID1146</vt:lpstr>
      <vt:lpstr>MesID1147</vt:lpstr>
      <vt:lpstr>MesID1148</vt:lpstr>
      <vt:lpstr>MesID1149</vt:lpstr>
      <vt:lpstr>MesID1151</vt:lpstr>
      <vt:lpstr>MesID1152</vt:lpstr>
      <vt:lpstr>MesID1157</vt:lpstr>
      <vt:lpstr>MesID1158</vt:lpstr>
      <vt:lpstr>MesID1159</vt:lpstr>
      <vt:lpstr>MesID1160</vt:lpstr>
      <vt:lpstr>MesID1162</vt:lpstr>
      <vt:lpstr>MesID1165</vt:lpstr>
      <vt:lpstr>MesID1167</vt:lpstr>
      <vt:lpstr>MesID1169</vt:lpstr>
      <vt:lpstr>MesID1170</vt:lpstr>
      <vt:lpstr>MesID1171</vt:lpstr>
      <vt:lpstr>MesID1172</vt:lpstr>
      <vt:lpstr>MesID1173</vt:lpstr>
      <vt:lpstr>MesID1175</vt:lpstr>
      <vt:lpstr>MesID1176</vt:lpstr>
      <vt:lpstr>MesID1177</vt:lpstr>
      <vt:lpstr>MesID1178</vt:lpstr>
      <vt:lpstr>MesID1179</vt:lpstr>
      <vt:lpstr>MesID1180</vt:lpstr>
      <vt:lpstr>MesID1181</vt:lpstr>
      <vt:lpstr>MesID1182</vt:lpstr>
      <vt:lpstr>MesID1183</vt:lpstr>
      <vt:lpstr>MesID1184</vt:lpstr>
      <vt:lpstr>MesID1185</vt:lpstr>
      <vt:lpstr>MesID1186</vt:lpstr>
      <vt:lpstr>MesID1188</vt:lpstr>
      <vt:lpstr>MesID1195</vt:lpstr>
      <vt:lpstr>MesID1197</vt:lpstr>
      <vt:lpstr>MesID1198</vt:lpstr>
      <vt:lpstr>MesID1199</vt:lpstr>
      <vt:lpstr>MesID1201</vt:lpstr>
      <vt:lpstr>MesID1202</vt:lpstr>
      <vt:lpstr>MesID1203</vt:lpstr>
      <vt:lpstr>MesID1205</vt:lpstr>
      <vt:lpstr>MesID1206</vt:lpstr>
      <vt:lpstr>MesID1210</vt:lpstr>
      <vt:lpstr>MesID1211</vt:lpstr>
      <vt:lpstr>MesID1212</vt:lpstr>
      <vt:lpstr>MesID1213</vt:lpstr>
      <vt:lpstr>MesID1214</vt:lpstr>
      <vt:lpstr>MesID1216</vt:lpstr>
      <vt:lpstr>MesID1219</vt:lpstr>
      <vt:lpstr>MesID1222</vt:lpstr>
      <vt:lpstr>MesID1226</vt:lpstr>
      <vt:lpstr>MesID1229</vt:lpstr>
      <vt:lpstr>MesID1234</vt:lpstr>
      <vt:lpstr>MesID1235</vt:lpstr>
      <vt:lpstr>MesID1236</vt:lpstr>
      <vt:lpstr>MesID1237</vt:lpstr>
      <vt:lpstr>MesID1240</vt:lpstr>
      <vt:lpstr>MesID1241</vt:lpstr>
      <vt:lpstr>MesID1242</vt:lpstr>
      <vt:lpstr>MesID1253</vt:lpstr>
      <vt:lpstr>MesID1254</vt:lpstr>
      <vt:lpstr>MesID1257</vt:lpstr>
      <vt:lpstr>MesID1258</vt:lpstr>
      <vt:lpstr>MesID1259</vt:lpstr>
      <vt:lpstr>MesID1260</vt:lpstr>
      <vt:lpstr>MesID1263</vt:lpstr>
      <vt:lpstr>MesID1264</vt:lpstr>
      <vt:lpstr>MesID1265</vt:lpstr>
      <vt:lpstr>MesID1266</vt:lpstr>
      <vt:lpstr>MesID1278</vt:lpstr>
      <vt:lpstr>MesID1279</vt:lpstr>
      <vt:lpstr>MesID1285</vt:lpstr>
      <vt:lpstr>MesID1287</vt:lpstr>
      <vt:lpstr>MesID1302</vt:lpstr>
      <vt:lpstr>MesID1303</vt:lpstr>
      <vt:lpstr>MesID1305</vt:lpstr>
      <vt:lpstr>MesID1306</vt:lpstr>
      <vt:lpstr>MesID1307</vt:lpstr>
      <vt:lpstr>MesID1308</vt:lpstr>
      <vt:lpstr>MesID1309</vt:lpstr>
      <vt:lpstr>MesID1310</vt:lpstr>
      <vt:lpstr>MesID1312</vt:lpstr>
      <vt:lpstr>MesID1313</vt:lpstr>
      <vt:lpstr>MesID1314</vt:lpstr>
      <vt:lpstr>MesID1320</vt:lpstr>
      <vt:lpstr>MesID1323</vt:lpstr>
      <vt:lpstr>MesID1326</vt:lpstr>
      <vt:lpstr>MesID1327</vt:lpstr>
      <vt:lpstr>MesID1329</vt:lpstr>
      <vt:lpstr>MesID1330</vt:lpstr>
      <vt:lpstr>MesID1333</vt:lpstr>
      <vt:lpstr>MesID1334</vt:lpstr>
      <vt:lpstr>MesID1335</vt:lpstr>
      <vt:lpstr>MesID1336</vt:lpstr>
      <vt:lpstr>MesID1340</vt:lpstr>
      <vt:lpstr>MesID1342</vt:lpstr>
      <vt:lpstr>MesID1343</vt:lpstr>
      <vt:lpstr>MesID1344</vt:lpstr>
      <vt:lpstr>MesID1345</vt:lpstr>
      <vt:lpstr>MesID1346</vt:lpstr>
      <vt:lpstr>MesID1347</vt:lpstr>
      <vt:lpstr>MesID1351</vt:lpstr>
      <vt:lpstr>MesID1361</vt:lpstr>
      <vt:lpstr>MesID1362</vt:lpstr>
      <vt:lpstr>MesID1366</vt:lpstr>
      <vt:lpstr>MesID1368</vt:lpstr>
      <vt:lpstr>MesID1374</vt:lpstr>
      <vt:lpstr>MesID1375</vt:lpstr>
      <vt:lpstr>MesID1376</vt:lpstr>
      <vt:lpstr>MesID1377</vt:lpstr>
      <vt:lpstr>MesID1385</vt:lpstr>
      <vt:lpstr>MesID1386</vt:lpstr>
      <vt:lpstr>MesID1390</vt:lpstr>
      <vt:lpstr>MesID1392</vt:lpstr>
      <vt:lpstr>MesID1407</vt:lpstr>
      <vt:lpstr>MesID1409</vt:lpstr>
      <vt:lpstr>MesID1413</vt:lpstr>
      <vt:lpstr>MesID1417</vt:lpstr>
      <vt:lpstr>MesID142</vt:lpstr>
      <vt:lpstr>MesID1440</vt:lpstr>
      <vt:lpstr>MesID1451</vt:lpstr>
      <vt:lpstr>MesID1453</vt:lpstr>
      <vt:lpstr>MesID1459</vt:lpstr>
      <vt:lpstr>MesID1467</vt:lpstr>
      <vt:lpstr>MesID1471</vt:lpstr>
      <vt:lpstr>MesID1472</vt:lpstr>
      <vt:lpstr>MesID1473</vt:lpstr>
      <vt:lpstr>MesID1474</vt:lpstr>
      <vt:lpstr>MesID1475</vt:lpstr>
      <vt:lpstr>MesID1476</vt:lpstr>
      <vt:lpstr>MesID1477</vt:lpstr>
      <vt:lpstr>MesID1478</vt:lpstr>
      <vt:lpstr>MesID1479</vt:lpstr>
      <vt:lpstr>MesID1480</vt:lpstr>
      <vt:lpstr>MesID1481</vt:lpstr>
      <vt:lpstr>MesID1482</vt:lpstr>
      <vt:lpstr>MesID1483</vt:lpstr>
      <vt:lpstr>MesID1484</vt:lpstr>
      <vt:lpstr>MesID1485</vt:lpstr>
      <vt:lpstr>MesID1490</vt:lpstr>
      <vt:lpstr>MesID1491</vt:lpstr>
      <vt:lpstr>MesID1492</vt:lpstr>
      <vt:lpstr>MesID1493</vt:lpstr>
      <vt:lpstr>MesID1494</vt:lpstr>
      <vt:lpstr>MesID1495</vt:lpstr>
      <vt:lpstr>MesID1499</vt:lpstr>
      <vt:lpstr>MesID1502</vt:lpstr>
      <vt:lpstr>MesID1507</vt:lpstr>
      <vt:lpstr>MesID1508</vt:lpstr>
      <vt:lpstr>MesID1510</vt:lpstr>
      <vt:lpstr>MesID1511</vt:lpstr>
      <vt:lpstr>MesID1513</vt:lpstr>
      <vt:lpstr>MesID1514</vt:lpstr>
      <vt:lpstr>MesID1516</vt:lpstr>
      <vt:lpstr>MesID1518</vt:lpstr>
      <vt:lpstr>MesID1519</vt:lpstr>
      <vt:lpstr>MesID1522</vt:lpstr>
      <vt:lpstr>MesID1524</vt:lpstr>
      <vt:lpstr>MesID1526</vt:lpstr>
      <vt:lpstr>MesID1527</vt:lpstr>
      <vt:lpstr>MesID1528</vt:lpstr>
      <vt:lpstr>MesID1529</vt:lpstr>
      <vt:lpstr>MesID1530</vt:lpstr>
      <vt:lpstr>MesID1533</vt:lpstr>
      <vt:lpstr>MesID1534</vt:lpstr>
      <vt:lpstr>MesID1536</vt:lpstr>
      <vt:lpstr>MesID1538</vt:lpstr>
      <vt:lpstr>MesID1539</vt:lpstr>
      <vt:lpstr>MesID1540</vt:lpstr>
      <vt:lpstr>MesID1541</vt:lpstr>
      <vt:lpstr>MesID1543</vt:lpstr>
      <vt:lpstr>MesID1546</vt:lpstr>
      <vt:lpstr>MesID1547</vt:lpstr>
      <vt:lpstr>MesID1551</vt:lpstr>
      <vt:lpstr>MesID1552</vt:lpstr>
      <vt:lpstr>MesID1553</vt:lpstr>
      <vt:lpstr>MesID1554</vt:lpstr>
      <vt:lpstr>MesID1555</vt:lpstr>
      <vt:lpstr>MesID1556</vt:lpstr>
      <vt:lpstr>MesID1557</vt:lpstr>
      <vt:lpstr>MesID1558</vt:lpstr>
      <vt:lpstr>MesID1559</vt:lpstr>
      <vt:lpstr>MesID1560</vt:lpstr>
      <vt:lpstr>MesID1561</vt:lpstr>
      <vt:lpstr>MesID1562</vt:lpstr>
      <vt:lpstr>MesID1563</vt:lpstr>
      <vt:lpstr>MesID1564</vt:lpstr>
      <vt:lpstr>MesID1567</vt:lpstr>
      <vt:lpstr>MesID1569</vt:lpstr>
      <vt:lpstr>MesID1570</vt:lpstr>
      <vt:lpstr>MesID1571</vt:lpstr>
      <vt:lpstr>MesID1573</vt:lpstr>
      <vt:lpstr>MesID1574</vt:lpstr>
      <vt:lpstr>MesID1575</vt:lpstr>
      <vt:lpstr>MesID1576</vt:lpstr>
      <vt:lpstr>MesID1577</vt:lpstr>
      <vt:lpstr>MesID1578</vt:lpstr>
      <vt:lpstr>MesID1579</vt:lpstr>
      <vt:lpstr>MesID1580</vt:lpstr>
      <vt:lpstr>MesID1581</vt:lpstr>
      <vt:lpstr>MesID1582</vt:lpstr>
      <vt:lpstr>MesID1583</vt:lpstr>
      <vt:lpstr>MesID1585</vt:lpstr>
      <vt:lpstr>MesID1586</vt:lpstr>
      <vt:lpstr>MesID1587</vt:lpstr>
      <vt:lpstr>MesID1588</vt:lpstr>
      <vt:lpstr>MesID1589</vt:lpstr>
      <vt:lpstr>MesID1590</vt:lpstr>
      <vt:lpstr>MesID1591</vt:lpstr>
      <vt:lpstr>MesID1592</vt:lpstr>
      <vt:lpstr>MesID1593</vt:lpstr>
      <vt:lpstr>MesID1594</vt:lpstr>
      <vt:lpstr>MesID1598</vt:lpstr>
      <vt:lpstr>MesID1599</vt:lpstr>
      <vt:lpstr>MesID1600</vt:lpstr>
      <vt:lpstr>MesID1603</vt:lpstr>
      <vt:lpstr>MesID1604</vt:lpstr>
      <vt:lpstr>MesID1605</vt:lpstr>
      <vt:lpstr>MesID1608</vt:lpstr>
      <vt:lpstr>MesID1609</vt:lpstr>
      <vt:lpstr>MesID1612</vt:lpstr>
      <vt:lpstr>MesID1614</vt:lpstr>
      <vt:lpstr>MesID1615</vt:lpstr>
      <vt:lpstr>MesID1616</vt:lpstr>
      <vt:lpstr>MesID1618</vt:lpstr>
      <vt:lpstr>MesID1620</vt:lpstr>
      <vt:lpstr>MesID1621</vt:lpstr>
      <vt:lpstr>MesID1622</vt:lpstr>
      <vt:lpstr>MesID1623</vt:lpstr>
      <vt:lpstr>MesID1624</vt:lpstr>
      <vt:lpstr>MesID1625</vt:lpstr>
      <vt:lpstr>MesID1626</vt:lpstr>
      <vt:lpstr>MesID1627</vt:lpstr>
      <vt:lpstr>MesID1628</vt:lpstr>
      <vt:lpstr>MesID1629</vt:lpstr>
      <vt:lpstr>MesID1630</vt:lpstr>
      <vt:lpstr>MesID1631</vt:lpstr>
      <vt:lpstr>MesID1632</vt:lpstr>
      <vt:lpstr>MesID1641</vt:lpstr>
      <vt:lpstr>MesID1642</vt:lpstr>
      <vt:lpstr>MesID1643</vt:lpstr>
      <vt:lpstr>MesID1646</vt:lpstr>
      <vt:lpstr>MesID1647</vt:lpstr>
      <vt:lpstr>MesID1648</vt:lpstr>
      <vt:lpstr>MesID1652</vt:lpstr>
      <vt:lpstr>MesID1657</vt:lpstr>
      <vt:lpstr>MesID1658</vt:lpstr>
      <vt:lpstr>MesID1662</vt:lpstr>
      <vt:lpstr>MesID1663</vt:lpstr>
      <vt:lpstr>MesID1664</vt:lpstr>
      <vt:lpstr>MesID1667</vt:lpstr>
      <vt:lpstr>MesID1673</vt:lpstr>
      <vt:lpstr>MesID1681</vt:lpstr>
      <vt:lpstr>MesID1682</vt:lpstr>
      <vt:lpstr>MesID1693</vt:lpstr>
      <vt:lpstr>MesID1694</vt:lpstr>
      <vt:lpstr>MesID1698</vt:lpstr>
      <vt:lpstr>MesID179</vt:lpstr>
      <vt:lpstr>MesID264</vt:lpstr>
      <vt:lpstr>MesID269</vt:lpstr>
      <vt:lpstr>MesID270</vt:lpstr>
      <vt:lpstr>MesID272</vt:lpstr>
      <vt:lpstr>MesID273</vt:lpstr>
      <vt:lpstr>MesID274</vt:lpstr>
      <vt:lpstr>MesID275</vt:lpstr>
      <vt:lpstr>MesID276</vt:lpstr>
      <vt:lpstr>MesID277</vt:lpstr>
      <vt:lpstr>MesID278</vt:lpstr>
      <vt:lpstr>MesID280</vt:lpstr>
      <vt:lpstr>MesID281</vt:lpstr>
      <vt:lpstr>MesID282</vt:lpstr>
      <vt:lpstr>MesID285</vt:lpstr>
      <vt:lpstr>MesID286</vt:lpstr>
      <vt:lpstr>MesID287</vt:lpstr>
      <vt:lpstr>MesID288</vt:lpstr>
      <vt:lpstr>MesID289</vt:lpstr>
      <vt:lpstr>MesID290</vt:lpstr>
      <vt:lpstr>MesID291</vt:lpstr>
      <vt:lpstr>MesID292</vt:lpstr>
      <vt:lpstr>MesID293</vt:lpstr>
      <vt:lpstr>MesID294</vt:lpstr>
      <vt:lpstr>MesID295</vt:lpstr>
      <vt:lpstr>MesID296</vt:lpstr>
      <vt:lpstr>MesID297</vt:lpstr>
      <vt:lpstr>MesID312</vt:lpstr>
      <vt:lpstr>MesID318</vt:lpstr>
      <vt:lpstr>MesID323</vt:lpstr>
      <vt:lpstr>MesID333</vt:lpstr>
      <vt:lpstr>MesID334</vt:lpstr>
      <vt:lpstr>MesID337</vt:lpstr>
      <vt:lpstr>MesID338</vt:lpstr>
      <vt:lpstr>MesID339</vt:lpstr>
      <vt:lpstr>MesID344</vt:lpstr>
      <vt:lpstr>MesID350</vt:lpstr>
      <vt:lpstr>MesID351</vt:lpstr>
      <vt:lpstr>MesID352</vt:lpstr>
      <vt:lpstr>MesID358</vt:lpstr>
      <vt:lpstr>MesID359</vt:lpstr>
      <vt:lpstr>MesID366</vt:lpstr>
      <vt:lpstr>MesID368</vt:lpstr>
      <vt:lpstr>MesID372</vt:lpstr>
      <vt:lpstr>MesID374</vt:lpstr>
      <vt:lpstr>MesID382</vt:lpstr>
      <vt:lpstr>MesID384</vt:lpstr>
      <vt:lpstr>MesID450</vt:lpstr>
      <vt:lpstr>MesID451</vt:lpstr>
      <vt:lpstr>MesID458</vt:lpstr>
      <vt:lpstr>MesID459</vt:lpstr>
      <vt:lpstr>MesID460</vt:lpstr>
      <vt:lpstr>MesID462</vt:lpstr>
      <vt:lpstr>MesID463</vt:lpstr>
      <vt:lpstr>MesID464</vt:lpstr>
      <vt:lpstr>MesID466</vt:lpstr>
      <vt:lpstr>MesID467</vt:lpstr>
      <vt:lpstr>MesID468</vt:lpstr>
      <vt:lpstr>MesID469</vt:lpstr>
      <vt:lpstr>MesID470</vt:lpstr>
      <vt:lpstr>MesID471</vt:lpstr>
      <vt:lpstr>MesID475</vt:lpstr>
      <vt:lpstr>MesID476</vt:lpstr>
      <vt:lpstr>MesID477</vt:lpstr>
      <vt:lpstr>MesID478</vt:lpstr>
      <vt:lpstr>MesID479</vt:lpstr>
      <vt:lpstr>MesID480</vt:lpstr>
      <vt:lpstr>MesID481</vt:lpstr>
      <vt:lpstr>MesID484</vt:lpstr>
      <vt:lpstr>MesID487</vt:lpstr>
      <vt:lpstr>MesID488</vt:lpstr>
      <vt:lpstr>MesID510</vt:lpstr>
      <vt:lpstr>MesID538</vt:lpstr>
      <vt:lpstr>MesID540</vt:lpstr>
      <vt:lpstr>MesID569</vt:lpstr>
      <vt:lpstr>MesID570</vt:lpstr>
      <vt:lpstr>MesID571</vt:lpstr>
      <vt:lpstr>MesID572</vt:lpstr>
      <vt:lpstr>MesID573</vt:lpstr>
      <vt:lpstr>MesID578</vt:lpstr>
      <vt:lpstr>MesID580</vt:lpstr>
      <vt:lpstr>MesID588</vt:lpstr>
      <vt:lpstr>MesID589</vt:lpstr>
      <vt:lpstr>MesID592</vt:lpstr>
      <vt:lpstr>MesID598</vt:lpstr>
      <vt:lpstr>MesID599</vt:lpstr>
      <vt:lpstr>MesID603</vt:lpstr>
      <vt:lpstr>MesID610</vt:lpstr>
      <vt:lpstr>MesID611</vt:lpstr>
      <vt:lpstr>MesID615</vt:lpstr>
      <vt:lpstr>MesID618</vt:lpstr>
      <vt:lpstr>MesID619</vt:lpstr>
      <vt:lpstr>MesID621</vt:lpstr>
      <vt:lpstr>MesID622</vt:lpstr>
      <vt:lpstr>MesID623</vt:lpstr>
      <vt:lpstr>MesID624</vt:lpstr>
      <vt:lpstr>MesID625</vt:lpstr>
      <vt:lpstr>MesID626</vt:lpstr>
      <vt:lpstr>MesID628</vt:lpstr>
      <vt:lpstr>MesID629</vt:lpstr>
      <vt:lpstr>MesID630</vt:lpstr>
      <vt:lpstr>MesID631</vt:lpstr>
      <vt:lpstr>MesID632</vt:lpstr>
      <vt:lpstr>MesID633</vt:lpstr>
      <vt:lpstr>MesID634</vt:lpstr>
      <vt:lpstr>MesID635</vt:lpstr>
      <vt:lpstr>MesID636</vt:lpstr>
      <vt:lpstr>MesID637</vt:lpstr>
      <vt:lpstr>MesID638</vt:lpstr>
      <vt:lpstr>MesID639</vt:lpstr>
      <vt:lpstr>MesID640</vt:lpstr>
      <vt:lpstr>MesID641</vt:lpstr>
      <vt:lpstr>MesID642</vt:lpstr>
      <vt:lpstr>MesID647</vt:lpstr>
      <vt:lpstr>MesID648</vt:lpstr>
      <vt:lpstr>MesID649</vt:lpstr>
      <vt:lpstr>MesID650</vt:lpstr>
      <vt:lpstr>MesID653</vt:lpstr>
      <vt:lpstr>MesID654</vt:lpstr>
      <vt:lpstr>MesID655</vt:lpstr>
      <vt:lpstr>MesID656</vt:lpstr>
      <vt:lpstr>MesID657</vt:lpstr>
      <vt:lpstr>MesID658</vt:lpstr>
      <vt:lpstr>MesID659</vt:lpstr>
      <vt:lpstr>MesID660</vt:lpstr>
      <vt:lpstr>MesID661</vt:lpstr>
      <vt:lpstr>MesID662</vt:lpstr>
      <vt:lpstr>MesID663</vt:lpstr>
      <vt:lpstr>MesID664</vt:lpstr>
      <vt:lpstr>MesID665</vt:lpstr>
      <vt:lpstr>MesID666</vt:lpstr>
      <vt:lpstr>MesID667</vt:lpstr>
      <vt:lpstr>MesID668</vt:lpstr>
      <vt:lpstr>MesID669</vt:lpstr>
      <vt:lpstr>MesID670</vt:lpstr>
      <vt:lpstr>MesID671</vt:lpstr>
      <vt:lpstr>MesID673</vt:lpstr>
      <vt:lpstr>MesID674</vt:lpstr>
      <vt:lpstr>MesID676</vt:lpstr>
      <vt:lpstr>MesID677</vt:lpstr>
      <vt:lpstr>MesID678</vt:lpstr>
      <vt:lpstr>MesID679</vt:lpstr>
      <vt:lpstr>MesID680</vt:lpstr>
      <vt:lpstr>MesID681</vt:lpstr>
      <vt:lpstr>MesID682</vt:lpstr>
      <vt:lpstr>MesID683</vt:lpstr>
      <vt:lpstr>MesID684</vt:lpstr>
      <vt:lpstr>MesID685</vt:lpstr>
      <vt:lpstr>MesID687</vt:lpstr>
      <vt:lpstr>MesID688</vt:lpstr>
      <vt:lpstr>MesID689</vt:lpstr>
      <vt:lpstr>MesID697</vt:lpstr>
      <vt:lpstr>MesID699</vt:lpstr>
      <vt:lpstr>MesID700</vt:lpstr>
      <vt:lpstr>MesID701</vt:lpstr>
      <vt:lpstr>MesID702</vt:lpstr>
      <vt:lpstr>MesID703</vt:lpstr>
      <vt:lpstr>MesID706</vt:lpstr>
      <vt:lpstr>MesID711</vt:lpstr>
      <vt:lpstr>MesID712</vt:lpstr>
      <vt:lpstr>MesID713</vt:lpstr>
      <vt:lpstr>MesID715</vt:lpstr>
      <vt:lpstr>MesID716</vt:lpstr>
      <vt:lpstr>MesID777</vt:lpstr>
      <vt:lpstr>MesID825</vt:lpstr>
      <vt:lpstr>MesID826</vt:lpstr>
      <vt:lpstr>MesID827</vt:lpstr>
      <vt:lpstr>MesID828</vt:lpstr>
      <vt:lpstr>MesID831</vt:lpstr>
      <vt:lpstr>MesID832</vt:lpstr>
      <vt:lpstr>MesID833</vt:lpstr>
      <vt:lpstr>MesID834</vt:lpstr>
      <vt:lpstr>MesID835</vt:lpstr>
      <vt:lpstr>MesID918</vt:lpstr>
      <vt:lpstr>MesID932</vt:lpstr>
      <vt:lpstr>MesID933</vt:lpstr>
      <vt:lpstr>MesID934</vt:lpstr>
      <vt:lpstr>MesID935</vt:lpstr>
      <vt:lpstr>MesID936</vt:lpstr>
      <vt:lpstr>MesID937</vt:lpstr>
      <vt:lpstr>MesID938</vt:lpstr>
      <vt:lpstr>MesID939</vt:lpstr>
      <vt:lpstr>MesID941</vt:lpstr>
      <vt:lpstr>MesID942</vt:lpstr>
      <vt:lpstr>MesID943</vt:lpstr>
      <vt:lpstr>MesID944</vt:lpstr>
      <vt:lpstr>MesID945</vt:lpstr>
      <vt:lpstr>MesID946</vt:lpstr>
      <vt:lpstr>MesID947</vt:lpstr>
      <vt:lpstr>MesID948</vt:lpstr>
      <vt:lpstr>MesID949</vt:lpstr>
      <vt:lpstr>MesID950</vt:lpstr>
      <vt:lpstr>MesID951</vt:lpstr>
      <vt:lpstr>MesID952</vt:lpstr>
      <vt:lpstr>MesID953</vt:lpstr>
      <vt:lpstr>MesID954</vt:lpstr>
      <vt:lpstr>MesID955</vt:lpstr>
      <vt:lpstr>MesID956</vt:lpstr>
      <vt:lpstr>MesID957</vt:lpstr>
      <vt:lpstr>MesID958</vt:lpstr>
      <vt:lpstr>MesID959</vt:lpstr>
      <vt:lpstr>MesID960</vt:lpstr>
      <vt:lpstr>MesID961</vt:lpstr>
      <vt:lpstr>MesID962</vt:lpstr>
      <vt:lpstr>MesID963</vt:lpstr>
      <vt:lpstr>MesID964</vt:lpstr>
      <vt:lpstr>MesID965</vt:lpstr>
      <vt:lpstr>MesID966</vt:lpstr>
      <vt:lpstr>MesID967</vt:lpstr>
      <vt:lpstr>MesID968</vt:lpstr>
      <vt:lpstr>MesID969</vt:lpstr>
      <vt:lpstr>MesID970</vt:lpstr>
      <vt:lpstr>MesID971</vt:lpstr>
      <vt:lpstr>MesID972</vt:lpstr>
      <vt:lpstr>MesID973</vt:lpstr>
      <vt:lpstr>MesID974</vt:lpstr>
      <vt:lpstr>MesID975</vt:lpstr>
      <vt:lpstr>MesID976</vt:lpstr>
      <vt:lpstr>MesID977</vt:lpstr>
      <vt:lpstr>MesID978</vt:lpstr>
      <vt:lpstr>MesID979</vt:lpstr>
      <vt:lpstr>MesID980</vt:lpstr>
      <vt:lpstr>MesID985</vt:lpstr>
      <vt:lpstr>MesID986</vt:lpstr>
      <vt:lpstr>MesID987</vt:lpstr>
      <vt:lpstr>MesID988</vt:lpstr>
      <vt:lpstr>MesID989</vt:lpstr>
      <vt:lpstr>MesID99</vt:lpstr>
      <vt:lpstr>MesID990</vt:lpstr>
      <vt:lpstr>MesID991</vt:lpstr>
      <vt:lpstr>MesID992</vt:lpstr>
      <vt:lpstr>MesID993</vt:lpstr>
      <vt:lpstr>MesID994</vt:lpstr>
      <vt:lpstr>MesID995</vt:lpstr>
      <vt:lpstr>MesID996</vt:lpstr>
      <vt:lpstr>MesID997</vt:lpstr>
      <vt:lpstr>MesID998</vt:lpstr>
      <vt:lpstr>MesID999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Osenbrügge, Kim Amber</dc:creator>
  <cp:lastModifiedBy>Patzig, Niklas</cp:lastModifiedBy>
  <cp:lastPrinted>2015-05-12T17:12:51Z</cp:lastPrinted>
  <dcterms:created xsi:type="dcterms:W3CDTF">2014-11-09T15:14:51Z</dcterms:created>
  <dcterms:modified xsi:type="dcterms:W3CDTF">2025-02-25T15:27:53Z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{9A128561-EFE5-4238-8D43-C3A85410C9DD}</vt:lpwstr>
  </property>
  <property fmtid="{D5CDD505-2E9C-101B-9397-08002B2CF9AE}" pid="3" name="MSIP_Label_ad9ed4cf-0835-41f5-8787-3905daafc7d0_Enabled">
    <vt:lpwstr>true</vt:lpwstr>
  </property>
  <property fmtid="{D5CDD505-2E9C-101B-9397-08002B2CF9AE}" pid="4" name="MSIP_Label_ad9ed4cf-0835-41f5-8787-3905daafc7d0_SetDate">
    <vt:lpwstr>2025-02-25T14:40:32Z</vt:lpwstr>
  </property>
  <property fmtid="{D5CDD505-2E9C-101B-9397-08002B2CF9AE}" pid="5" name="MSIP_Label_ad9ed4cf-0835-41f5-8787-3905daafc7d0_Method">
    <vt:lpwstr>Privileged</vt:lpwstr>
  </property>
  <property fmtid="{D5CDD505-2E9C-101B-9397-08002B2CF9AE}" pid="6" name="MSIP_Label_ad9ed4cf-0835-41f5-8787-3905daafc7d0_Name">
    <vt:lpwstr>NON-BUSINESS</vt:lpwstr>
  </property>
  <property fmtid="{D5CDD505-2E9C-101B-9397-08002B2CF9AE}" pid="7" name="MSIP_Label_ad9ed4cf-0835-41f5-8787-3905daafc7d0_SiteId">
    <vt:lpwstr>b84ee435-4816-49d2-8d92-e740dbda4064</vt:lpwstr>
  </property>
  <property fmtid="{D5CDD505-2E9C-101B-9397-08002B2CF9AE}" pid="8" name="MSIP_Label_ad9ed4cf-0835-41f5-8787-3905daafc7d0_ActionId">
    <vt:lpwstr>38f2b694-d2bd-4782-a8ae-09b21c3f46c3</vt:lpwstr>
  </property>
  <property fmtid="{D5CDD505-2E9C-101B-9397-08002B2CF9AE}" pid="9" name="MSIP_Label_ad9ed4cf-0835-41f5-8787-3905daafc7d0_ContentBits">
    <vt:lpwstr>0</vt:lpwstr>
  </property>
</Properties>
</file>